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<sst xmlns="http://schemas.openxmlformats.org/spreadsheetml/2006/main" count="459" uniqueCount="105">
  <si>
    <t>Водоотведение</t>
  </si>
  <si>
    <t>Водоотведение повышающий коэфф</t>
  </si>
  <si>
    <t>Горячее водоснабжение</t>
  </si>
  <si>
    <t>Отопление</t>
  </si>
  <si>
    <t>Отопление повыш коэфф</t>
  </si>
  <si>
    <t>Пени</t>
  </si>
  <si>
    <t>Содержание и ремонт жилья</t>
  </si>
  <si>
    <t>Холодное водоснабжение</t>
  </si>
  <si>
    <t>Холодное водоснабжение ОДН</t>
  </si>
  <si>
    <t>Холодное водоснабжение повышающий коэфф</t>
  </si>
  <si>
    <t>ТО слаботочных систем (пожарная сигнализация, дымоудаление)</t>
  </si>
  <si>
    <t>Электроэнергия</t>
  </si>
  <si>
    <t>Электроэнергия МОП</t>
  </si>
  <si>
    <t>Электроэнергия превышающий норматив</t>
  </si>
  <si>
    <t>Санаторная, д. 9б</t>
  </si>
  <si>
    <t>ТиАО (котельная, ЦТП, ХВО, ГРПШ)</t>
  </si>
  <si>
    <t>ТиАО наружных сетей (ливневой и быт.кан., сетей эл.снаб.)</t>
  </si>
  <si>
    <t>ТО наружных газовых сетей</t>
  </si>
  <si>
    <t>Холодное водоснабжение ОДН повышающий коэфф</t>
  </si>
  <si>
    <t xml:space="preserve"> </t>
  </si>
  <si>
    <t>ВСЕГО</t>
  </si>
  <si>
    <t>Вид услуги</t>
  </si>
  <si>
    <t>Общая задолженность на 01.01.2016 г.</t>
  </si>
  <si>
    <t>Водоотведение повышающий коэфф.</t>
  </si>
  <si>
    <t>Задолженность текущего периода</t>
  </si>
  <si>
    <t>ИТОГО по водоотведению</t>
  </si>
  <si>
    <t>ИТОГО по горячему водоснабжению</t>
  </si>
  <si>
    <t>ИТОГО по отоплению</t>
  </si>
  <si>
    <t>ИТОГО по холодному водоснабжению</t>
  </si>
  <si>
    <t>в т.ч.</t>
  </si>
  <si>
    <t xml:space="preserve"> - по жилищным услугам</t>
  </si>
  <si>
    <t xml:space="preserve"> - по коммунальным услугам</t>
  </si>
  <si>
    <t>Адрес:Калужское шоссе,1</t>
  </si>
  <si>
    <t>Адрес:БР.Жабровых,д.3/Революции,д.10/Лейтейзена,5</t>
  </si>
  <si>
    <t>Холодное водоснабжение повышающий коэфф.</t>
  </si>
  <si>
    <t>Адрес:пр.Ленина,112</t>
  </si>
  <si>
    <t>Адрес:пр.Ленина,120</t>
  </si>
  <si>
    <t>Адрес:пр.Ленина,149а</t>
  </si>
  <si>
    <t>Адрес.пр.Ленина,151</t>
  </si>
  <si>
    <t>ИТОГО по электроэнергии</t>
  </si>
  <si>
    <t>Адрес:Санаторная,9б</t>
  </si>
  <si>
    <t xml:space="preserve"> - прочие услуги</t>
  </si>
  <si>
    <t>Адрес:Ф.Смирнова,1</t>
  </si>
  <si>
    <t>ИТОГО по  отоплению</t>
  </si>
  <si>
    <t>Адрес:Ф.Смирнова,5</t>
  </si>
  <si>
    <t>Адрес:Ф.Смирнова,7</t>
  </si>
  <si>
    <t>Адрес:Фрунзе,4</t>
  </si>
  <si>
    <t>Адрес: Бр.Жабровых,7</t>
  </si>
  <si>
    <t xml:space="preserve">Горячее водоснабжение повышающий коэфф. </t>
  </si>
  <si>
    <t xml:space="preserve">Холодное водоснабжение </t>
  </si>
  <si>
    <t>Адрес:Красноармейский пр.,38</t>
  </si>
  <si>
    <t xml:space="preserve"> - по прочим услугам</t>
  </si>
  <si>
    <t>ТО слаботочных систем (домофон, охр.сигн. и др.)</t>
  </si>
  <si>
    <t>Уборщица л/к</t>
  </si>
  <si>
    <t>Услуги консьержа</t>
  </si>
  <si>
    <t>Уборка МОП</t>
  </si>
  <si>
    <t>Обслуживание ЛДС</t>
  </si>
  <si>
    <t>Организация работы с жителями</t>
  </si>
  <si>
    <t>Уборщица</t>
  </si>
  <si>
    <t xml:space="preserve">Уборщица </t>
  </si>
  <si>
    <t xml:space="preserve"> -по прочим услугам</t>
  </si>
  <si>
    <t>ТО Видеосвязи</t>
  </si>
  <si>
    <t>Общая задолженность на 01.01.2017 г.</t>
  </si>
  <si>
    <t>Электроэнергия для подогрева х/воды и отопления</t>
  </si>
  <si>
    <t>Общая задолженность</t>
  </si>
  <si>
    <t xml:space="preserve">ИТОГОВАЯ задолженность </t>
  </si>
  <si>
    <t>* просроченная задолженность с учетом текущей задолженности</t>
  </si>
  <si>
    <t>Начисления и оплата по коммунальным и жилищным платежам за 2017 год с задолженностью  по ООО УК Платоновский лес</t>
  </si>
  <si>
    <t>Начисления 2017 г.</t>
  </si>
  <si>
    <t>Оплата 2017 г.</t>
  </si>
  <si>
    <t>Общая задолженность на 01.01.2018 г.</t>
  </si>
  <si>
    <t>Расходы по ОДН на водоснабжение</t>
  </si>
  <si>
    <t>Расходы по ОДН на горячее водоснабжение</t>
  </si>
  <si>
    <t>Расходы по ОДН на электроэнергии</t>
  </si>
  <si>
    <t xml:space="preserve"> - ОДН по водоснабжению</t>
  </si>
  <si>
    <t xml:space="preserve"> - ОДН по горячему водоснабжению</t>
  </si>
  <si>
    <t xml:space="preserve"> - ОДН по электроэнергии</t>
  </si>
  <si>
    <t xml:space="preserve">Холодное водоснабжение ОДН </t>
  </si>
  <si>
    <t>Холодная вода для горячего водоснабжения</t>
  </si>
  <si>
    <t>Холодная вода для горячего водоснабжения (пов. коэффициент)</t>
  </si>
  <si>
    <t>Расходы по ОДН на горячее водоснабжение водоснабжение</t>
  </si>
  <si>
    <t xml:space="preserve"> - ОДН по  горячему водоснабжению</t>
  </si>
  <si>
    <t>Холодное водоснабжение для г/водоснабжения</t>
  </si>
  <si>
    <t>Холодное водоснабжение для отопления</t>
  </si>
  <si>
    <t>ТО наружных сетей газоснабжения</t>
  </si>
  <si>
    <t>Газоснабжение для подогрева х/воды и отопления</t>
  </si>
  <si>
    <t>ТО  наружных сетей ЛДС (линии диспетчеризации и связи)</t>
  </si>
  <si>
    <t>ТО  наружных сетей  электроснабжения,ТП,РП</t>
  </si>
  <si>
    <t>Стоимость клапана газ.горелки котла</t>
  </si>
  <si>
    <t>Стоимость расшир.бака в котельной</t>
  </si>
  <si>
    <t>ТиАО (котельная ЦТП,ХВО,ГРПШ)</t>
  </si>
  <si>
    <t>Расходы по ОДН на  г/водоснабжение</t>
  </si>
  <si>
    <t xml:space="preserve"> - ОДН по г/ водоснабжению</t>
  </si>
  <si>
    <t>Холодная вода для г/водоснабжения</t>
  </si>
  <si>
    <t>Холодная вода для отопления</t>
  </si>
  <si>
    <t>Теплоэнергия для подогрева х/воды</t>
  </si>
  <si>
    <t>Стоимость материалов (расширенные баки)</t>
  </si>
  <si>
    <t xml:space="preserve">Холодное водоснабжение  для г/водоснабжения </t>
  </si>
  <si>
    <t>Холодная вода для г/водоснабжения повышающий коэффициент</t>
  </si>
  <si>
    <t>Расходы по ОДН на г/ водоснабжение</t>
  </si>
  <si>
    <t>Аренда оборудования видеокамер и шлакбаума</t>
  </si>
  <si>
    <t>Газоснабжение (для подогрева хол.воды и отопления)</t>
  </si>
  <si>
    <t>ТО нар. сетей эл. снабжения, ТП, РП1</t>
  </si>
  <si>
    <t>ТО нар. сетей эл. снабжения, ТП, РП</t>
  </si>
  <si>
    <t>Страхование котельной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</si>
</sst>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\ _₽_-;\-* #,##0.000\ _₽_-;_-* &quot;-&quot;??\ _₽_-;_-@_-"/>
    <numFmt numFmtId="179" formatCode="_-* #,##0.0000\ _₽_-;\-* #,##0.0000\ _₽_-;_-* &quot;-&quot;??\ _₽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\ _₽"/>
  </numFmts>
  <fonts count="49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4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color indexed="17"/>
      <name val="Arial"/>
      <family val="2"/>
    </font>
    <font>
      <b/>
      <sz val="14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6100"/>
      <name val="Calibri"/>
      <family val="2"/>
    </font>
    <font>
      <b/>
      <sz val="14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rgb="FF006100"/>
      <name val="Arial"/>
      <family val="2"/>
    </font>
    <font>
      <b/>
      <sz val="14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right" vertical="top"/>
    </xf>
    <xf numFmtId="43" fontId="2" fillId="0" borderId="10" xfId="0" applyNumberFormat="1" applyFont="1" applyBorder="1" applyAlignment="1">
      <alignment horizontal="center" vertical="top"/>
    </xf>
    <xf numFmtId="43" fontId="2" fillId="0" borderId="10" xfId="0" applyNumberFormat="1" applyFont="1" applyBorder="1" applyAlignment="1">
      <alignment horizontal="left" vertical="top"/>
    </xf>
    <xf numFmtId="43" fontId="2" fillId="0" borderId="10" xfId="0" applyNumberFormat="1" applyFont="1" applyBorder="1" applyAlignment="1">
      <alignment vertical="top"/>
    </xf>
    <xf numFmtId="43" fontId="2" fillId="33" borderId="10" xfId="0" applyNumberFormat="1" applyFont="1" applyFill="1" applyBorder="1" applyAlignment="1">
      <alignment horizontal="left" vertical="top"/>
    </xf>
    <xf numFmtId="43" fontId="2" fillId="0" borderId="10" xfId="0" applyNumberFormat="1" applyFont="1" applyBorder="1" applyAlignment="1">
      <alignment horizontal="right" vertical="top"/>
    </xf>
    <xf numFmtId="43" fontId="1" fillId="0" borderId="10" xfId="0" applyNumberFormat="1" applyFont="1" applyBorder="1" applyAlignment="1">
      <alignment horizontal="left" vertical="top" wrapText="1" indent="2"/>
    </xf>
    <xf numFmtId="43" fontId="1" fillId="0" borderId="10" xfId="0" applyNumberFormat="1" applyFont="1" applyBorder="1" applyAlignment="1">
      <alignment horizontal="right" vertical="top"/>
    </xf>
    <xf numFmtId="43" fontId="1" fillId="33" borderId="11" xfId="0" applyNumberFormat="1" applyFont="1" applyFill="1" applyBorder="1" applyAlignment="1">
      <alignment horizontal="center" vertical="center" wrapText="1"/>
    </xf>
    <xf numFmtId="43" fontId="1" fillId="33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left" vertical="top" wrapText="1" indent="2"/>
    </xf>
    <xf numFmtId="43" fontId="2" fillId="33" borderId="10" xfId="0" applyNumberFormat="1" applyFont="1" applyFill="1" applyBorder="1" applyAlignment="1">
      <alignment horizontal="left" vertical="top" wrapText="1" indent="2"/>
    </xf>
    <xf numFmtId="43" fontId="1" fillId="33" borderId="10" xfId="0" applyNumberFormat="1" applyFont="1" applyFill="1" applyBorder="1" applyAlignment="1">
      <alignment horizontal="left" vertical="top" wrapText="1" indent="2"/>
    </xf>
    <xf numFmtId="43" fontId="2" fillId="34" borderId="10" xfId="0" applyNumberFormat="1" applyFont="1" applyFill="1" applyBorder="1" applyAlignment="1">
      <alignment horizontal="left" vertical="top"/>
    </xf>
    <xf numFmtId="43" fontId="2" fillId="34" borderId="10" xfId="0" applyNumberFormat="1" applyFont="1" applyFill="1" applyBorder="1" applyAlignment="1">
      <alignment horizontal="right" vertical="top"/>
    </xf>
    <xf numFmtId="43" fontId="2" fillId="35" borderId="10" xfId="0" applyNumberFormat="1" applyFont="1" applyFill="1" applyBorder="1" applyAlignment="1">
      <alignment horizontal="right" vertical="top"/>
    </xf>
    <xf numFmtId="43" fontId="2" fillId="0" borderId="0" xfId="0" applyNumberFormat="1" applyFont="1" applyAlignment="1">
      <alignment horizontal="left"/>
    </xf>
    <xf numFmtId="43" fontId="2" fillId="36" borderId="0" xfId="0" applyNumberFormat="1" applyFont="1" applyFill="1" applyBorder="1" applyAlignment="1">
      <alignment horizontal="right" vertical="top"/>
    </xf>
    <xf numFmtId="43" fontId="2" fillId="0" borderId="10" xfId="0" applyNumberFormat="1" applyFont="1" applyBorder="1" applyAlignment="1">
      <alignment vertical="top" wrapText="1"/>
    </xf>
    <xf numFmtId="43" fontId="2" fillId="0" borderId="10" xfId="0" applyNumberFormat="1" applyFont="1" applyBorder="1" applyAlignment="1">
      <alignment horizontal="left" vertical="top" wrapText="1"/>
    </xf>
    <xf numFmtId="43" fontId="1" fillId="0" borderId="10" xfId="0" applyNumberFormat="1" applyFont="1" applyBorder="1" applyAlignment="1">
      <alignment horizontal="left" vertical="top" wrapText="1"/>
    </xf>
    <xf numFmtId="43" fontId="1" fillId="0" borderId="10" xfId="0" applyNumberFormat="1" applyFont="1" applyBorder="1" applyAlignment="1">
      <alignment horizontal="right" vertical="top"/>
    </xf>
    <xf numFmtId="43" fontId="1" fillId="0" borderId="10" xfId="0" applyNumberFormat="1" applyFont="1" applyBorder="1" applyAlignment="1">
      <alignment vertical="top"/>
    </xf>
    <xf numFmtId="43" fontId="2" fillId="0" borderId="10" xfId="0" applyNumberFormat="1" applyFont="1" applyBorder="1" applyAlignment="1">
      <alignment vertical="top"/>
    </xf>
    <xf numFmtId="43" fontId="2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 wrapText="1" indent="2"/>
    </xf>
    <xf numFmtId="43" fontId="1" fillId="0" borderId="0" xfId="0" applyNumberFormat="1" applyFont="1" applyBorder="1" applyAlignment="1">
      <alignment horizontal="left" vertical="top" wrapText="1" indent="2"/>
    </xf>
    <xf numFmtId="0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left" vertical="top" wrapText="1" indent="2"/>
    </xf>
    <xf numFmtId="43" fontId="2" fillId="0" borderId="10" xfId="0" applyNumberFormat="1" applyFont="1" applyBorder="1" applyAlignment="1">
      <alignment horizontal="left" vertical="top"/>
    </xf>
    <xf numFmtId="43" fontId="2" fillId="0" borderId="10" xfId="0" applyNumberFormat="1" applyFont="1" applyBorder="1" applyAlignment="1">
      <alignment vertical="top" wrapText="1"/>
    </xf>
    <xf numFmtId="43" fontId="1" fillId="0" borderId="12" xfId="0" applyNumberFormat="1" applyFont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/>
    </xf>
    <xf numFmtId="43" fontId="2" fillId="0" borderId="13" xfId="0" applyNumberFormat="1" applyFont="1" applyBorder="1" applyAlignment="1">
      <alignment vertical="top"/>
    </xf>
    <xf numFmtId="43" fontId="1" fillId="0" borderId="13" xfId="0" applyNumberFormat="1" applyFont="1" applyBorder="1" applyAlignment="1">
      <alignment vertical="top"/>
    </xf>
    <xf numFmtId="43" fontId="1" fillId="0" borderId="12" xfId="0" applyNumberFormat="1" applyFont="1" applyBorder="1" applyAlignment="1">
      <alignment horizontal="left" vertical="top" wrapText="1"/>
    </xf>
    <xf numFmtId="43" fontId="1" fillId="33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left" vertical="top"/>
    </xf>
    <xf numFmtId="43" fontId="44" fillId="32" borderId="11" xfId="60" applyNumberFormat="1" applyFont="1" applyBorder="1" applyAlignment="1">
      <alignment horizontal="left" vertical="top" wrapText="1"/>
    </xf>
    <xf numFmtId="43" fontId="44" fillId="32" borderId="10" xfId="60" applyNumberFormat="1" applyFont="1" applyBorder="1" applyAlignment="1">
      <alignment horizontal="left" vertical="top" wrapText="1"/>
    </xf>
    <xf numFmtId="43" fontId="44" fillId="32" borderId="10" xfId="60" applyNumberFormat="1" applyFont="1" applyBorder="1" applyAlignment="1">
      <alignment horizontal="left" vertical="top" wrapText="1" indent="2"/>
    </xf>
    <xf numFmtId="43" fontId="1" fillId="0" borderId="12" xfId="0" applyNumberFormat="1" applyFont="1" applyBorder="1" applyAlignment="1">
      <alignment horizontal="right" vertical="top"/>
    </xf>
    <xf numFmtId="43" fontId="1" fillId="0" borderId="10" xfId="0" applyNumberFormat="1" applyFont="1" applyBorder="1" applyAlignment="1">
      <alignment horizontal="left" vertical="top"/>
    </xf>
    <xf numFmtId="43" fontId="45" fillId="30" borderId="10" xfId="52" applyNumberFormat="1" applyFont="1" applyBorder="1" applyAlignment="1">
      <alignment horizontal="left"/>
    </xf>
    <xf numFmtId="43" fontId="2" fillId="0" borderId="11" xfId="0" applyNumberFormat="1" applyFont="1" applyBorder="1" applyAlignment="1">
      <alignment horizontal="left" vertical="top" wrapText="1"/>
    </xf>
    <xf numFmtId="43" fontId="1" fillId="0" borderId="12" xfId="0" applyNumberFormat="1" applyFont="1" applyBorder="1" applyAlignment="1">
      <alignment vertical="top"/>
    </xf>
    <xf numFmtId="43" fontId="2" fillId="0" borderId="10" xfId="0" applyNumberFormat="1" applyFont="1" applyBorder="1" applyAlignment="1">
      <alignment horizontal="left" vertical="top" wrapText="1"/>
    </xf>
    <xf numFmtId="43" fontId="2" fillId="0" borderId="11" xfId="0" applyNumberFormat="1" applyFont="1" applyBorder="1" applyAlignment="1">
      <alignment vertical="top" wrapText="1"/>
    </xf>
    <xf numFmtId="43" fontId="2" fillId="0" borderId="11" xfId="0" applyNumberFormat="1" applyFont="1" applyBorder="1" applyAlignment="1">
      <alignment horizontal="left" vertical="top" wrapText="1"/>
    </xf>
    <xf numFmtId="43" fontId="2" fillId="33" borderId="0" xfId="0" applyNumberFormat="1" applyFont="1" applyFill="1" applyBorder="1" applyAlignment="1">
      <alignment horizontal="right" vertical="top"/>
    </xf>
    <xf numFmtId="43" fontId="45" fillId="33" borderId="11" xfId="52" applyNumberFormat="1" applyFont="1" applyFill="1" applyBorder="1" applyAlignment="1">
      <alignment horizontal="left" vertical="top" wrapText="1"/>
    </xf>
    <xf numFmtId="43" fontId="45" fillId="33" borderId="10" xfId="52" applyNumberFormat="1" applyFont="1" applyFill="1" applyBorder="1" applyAlignment="1">
      <alignment horizontal="left" vertical="top" wrapText="1" indent="2"/>
    </xf>
    <xf numFmtId="43" fontId="45" fillId="33" borderId="10" xfId="52" applyNumberFormat="1" applyFont="1" applyFill="1" applyBorder="1" applyAlignment="1">
      <alignment horizontal="left" vertical="top" wrapText="1"/>
    </xf>
    <xf numFmtId="43" fontId="45" fillId="33" borderId="10" xfId="52" applyNumberFormat="1" applyFont="1" applyFill="1" applyBorder="1" applyAlignment="1">
      <alignment horizontal="left"/>
    </xf>
    <xf numFmtId="43" fontId="0" fillId="0" borderId="0" xfId="0" applyNumberFormat="1" applyAlignment="1">
      <alignment/>
    </xf>
    <xf numFmtId="43" fontId="39" fillId="30" borderId="10" xfId="52" applyNumberFormat="1" applyBorder="1" applyAlignment="1">
      <alignment horizontal="left" vertical="top" wrapText="1" indent="2"/>
    </xf>
    <xf numFmtId="0" fontId="46" fillId="0" borderId="0" xfId="0" applyFont="1" applyAlignment="1">
      <alignment/>
    </xf>
    <xf numFmtId="43" fontId="2" fillId="37" borderId="10" xfId="0" applyNumberFormat="1" applyFont="1" applyFill="1" applyBorder="1" applyAlignment="1">
      <alignment vertical="top" wrapText="1"/>
    </xf>
    <xf numFmtId="43" fontId="2" fillId="37" borderId="10" xfId="0" applyNumberFormat="1" applyFont="1" applyFill="1" applyBorder="1" applyAlignment="1">
      <alignment horizontal="right" vertical="top"/>
    </xf>
    <xf numFmtId="43" fontId="47" fillId="32" borderId="10" xfId="60" applyNumberFormat="1" applyFont="1" applyBorder="1" applyAlignment="1">
      <alignment horizontal="left" vertical="top" wrapText="1" indent="2"/>
    </xf>
    <xf numFmtId="43" fontId="2" fillId="37" borderId="10" xfId="0" applyNumberFormat="1" applyFont="1" applyFill="1" applyBorder="1" applyAlignment="1">
      <alignment horizontal="left" vertical="top" wrapText="1"/>
    </xf>
    <xf numFmtId="43" fontId="1" fillId="37" borderId="10" xfId="0" applyNumberFormat="1" applyFont="1" applyFill="1" applyBorder="1" applyAlignment="1">
      <alignment horizontal="right" vertical="top"/>
    </xf>
    <xf numFmtId="43" fontId="44" fillId="32" borderId="13" xfId="60" applyNumberFormat="1" applyFont="1" applyBorder="1" applyAlignment="1">
      <alignment horizontal="left" vertical="top" wrapText="1"/>
    </xf>
    <xf numFmtId="43" fontId="2" fillId="0" borderId="12" xfId="0" applyNumberFormat="1" applyFont="1" applyBorder="1" applyAlignment="1">
      <alignment horizontal="left" vertical="top" wrapText="1"/>
    </xf>
    <xf numFmtId="43" fontId="45" fillId="30" borderId="0" xfId="52" applyNumberFormat="1" applyFont="1" applyBorder="1" applyAlignment="1">
      <alignment horizontal="left"/>
    </xf>
    <xf numFmtId="43" fontId="2" fillId="0" borderId="10" xfId="0" applyNumberFormat="1" applyFont="1" applyBorder="1" applyAlignment="1">
      <alignment horizontal="left"/>
    </xf>
    <xf numFmtId="43" fontId="48" fillId="33" borderId="10" xfId="60" applyNumberFormat="1" applyFont="1" applyFill="1" applyBorder="1" applyAlignment="1">
      <alignment vertical="top" wrapText="1"/>
    </xf>
    <xf numFmtId="43" fontId="44" fillId="32" borderId="0" xfId="60" applyNumberFormat="1" applyFont="1" applyBorder="1" applyAlignment="1">
      <alignment horizontal="left" vertical="top" wrapText="1" indent="2"/>
    </xf>
    <xf numFmtId="43" fontId="2" fillId="37" borderId="10" xfId="0" applyNumberFormat="1" applyFont="1" applyFill="1" applyBorder="1" applyAlignment="1">
      <alignment horizontal="left" vertical="top"/>
    </xf>
    <xf numFmtId="43" fontId="1" fillId="8" borderId="10" xfId="0" applyNumberFormat="1" applyFont="1" applyFill="1" applyBorder="1" applyAlignment="1">
      <alignment vertical="top"/>
    </xf>
    <xf numFmtId="43" fontId="2" fillId="37" borderId="10" xfId="0" applyNumberFormat="1" applyFont="1" applyFill="1" applyBorder="1" applyAlignment="1">
      <alignment vertical="top"/>
    </xf>
    <xf numFmtId="43" fontId="2" fillId="8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 indent="2"/>
    </xf>
    <xf numFmtId="43" fontId="47" fillId="32" borderId="12" xfId="60" applyNumberFormat="1" applyFont="1" applyBorder="1" applyAlignment="1">
      <alignment horizontal="left" vertical="top" wrapText="1" indent="2"/>
    </xf>
    <xf numFmtId="43" fontId="47" fillId="32" borderId="0" xfId="60" applyNumberFormat="1" applyFont="1" applyBorder="1" applyAlignment="1">
      <alignment horizontal="left" vertical="top" wrapText="1" indent="2"/>
    </xf>
    <xf numFmtId="43" fontId="2" fillId="8" borderId="10" xfId="0" applyNumberFormat="1" applyFont="1" applyFill="1" applyBorder="1" applyAlignment="1">
      <alignment vertical="top"/>
    </xf>
    <xf numFmtId="43" fontId="2" fillId="8" borderId="10" xfId="0" applyNumberFormat="1" applyFont="1" applyFill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 wrapText="1"/>
    </xf>
    <xf numFmtId="43" fontId="1" fillId="33" borderId="11" xfId="0" applyNumberFormat="1" applyFont="1" applyFill="1" applyBorder="1" applyAlignment="1">
      <alignment horizontal="center" vertical="top" wrapText="1"/>
    </xf>
    <xf numFmtId="43" fontId="1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493"/>
  <sheetViews>
    <sheetView tabSelected="1" workbookViewId="0" topLeftCell="A1">
      <selection activeCell="B174" sqref="B1:B16384"/>
    </sheetView>
  </sheetViews>
  <sheetFormatPr defaultColWidth="10.66015625" defaultRowHeight="11.25" outlineLevelRow="1"/>
  <cols>
    <col min="1" max="1" width="47.66015625" style="1" customWidth="1"/>
    <col min="2" max="2" width="26" style="1" hidden="1" customWidth="1"/>
    <col min="3" max="3" width="29.33203125" style="1" customWidth="1"/>
    <col min="4" max="4" width="28.16015625" style="1" customWidth="1"/>
    <col min="5" max="5" width="28.66015625" style="1" customWidth="1"/>
    <col min="6" max="6" width="26.33203125" style="1" customWidth="1"/>
    <col min="7" max="7" width="27.5" style="1" hidden="1" customWidth="1"/>
    <col min="8" max="8" width="14.66015625" style="0" hidden="1" customWidth="1"/>
    <col min="9" max="9" width="15.66015625" style="0" hidden="1" customWidth="1"/>
    <col min="10" max="10" width="15.5" style="0" hidden="1" customWidth="1"/>
    <col min="11" max="11" width="14.66015625" style="0" hidden="1" customWidth="1"/>
    <col min="12" max="13" width="13" style="0" hidden="1" customWidth="1"/>
    <col min="14" max="14" width="16.66015625" style="0" hidden="1" customWidth="1"/>
    <col min="15" max="15" width="0" style="0" hidden="1" customWidth="1"/>
    <col min="16" max="16" width="15.66015625" style="0" bestFit="1" customWidth="1"/>
  </cols>
  <sheetData>
    <row r="1" s="1" customFormat="1" ht="9.75" customHeight="1"/>
    <row r="2" spans="1:7" ht="45.75" customHeight="1">
      <c r="A2" s="90" t="s">
        <v>67</v>
      </c>
      <c r="B2" s="90"/>
      <c r="C2" s="90"/>
      <c r="D2" s="90"/>
      <c r="E2" s="90"/>
      <c r="F2" s="90"/>
      <c r="G2" s="3"/>
    </row>
    <row r="3" spans="1:7" ht="62.25" customHeight="1">
      <c r="A3" s="37" t="s">
        <v>21</v>
      </c>
      <c r="B3" s="37"/>
      <c r="C3" s="37" t="s">
        <v>68</v>
      </c>
      <c r="D3" s="38" t="s">
        <v>69</v>
      </c>
      <c r="E3" s="39" t="s">
        <v>24</v>
      </c>
      <c r="F3" s="39" t="s">
        <v>70</v>
      </c>
      <c r="G3" s="44" t="s">
        <v>22</v>
      </c>
    </row>
    <row r="4" spans="1:7" ht="37.5" customHeight="1" outlineLevel="1">
      <c r="A4" s="35" t="s">
        <v>33</v>
      </c>
      <c r="B4" s="4"/>
      <c r="C4" s="5"/>
      <c r="D4" s="5"/>
      <c r="E4" s="5"/>
      <c r="F4" s="5"/>
      <c r="G4" s="45"/>
    </row>
    <row r="5" spans="1:7" ht="26.25" customHeight="1" outlineLevel="1">
      <c r="A5" s="29" t="s">
        <v>0</v>
      </c>
      <c r="B5" s="29"/>
      <c r="C5" s="15">
        <v>1078265.68</v>
      </c>
      <c r="D5" s="13">
        <v>1057759.6</v>
      </c>
      <c r="E5" s="13">
        <f>C5-D5</f>
        <v>20506.07999999984</v>
      </c>
      <c r="F5" s="13">
        <f>E5+B5</f>
        <v>20506.07999999984</v>
      </c>
      <c r="G5" s="46">
        <f>D5</f>
        <v>1057759.6</v>
      </c>
    </row>
    <row r="6" spans="1:7" ht="31.5" customHeight="1" outlineLevel="1">
      <c r="A6" s="29" t="s">
        <v>23</v>
      </c>
      <c r="B6" s="29"/>
      <c r="C6" s="15">
        <v>-2</v>
      </c>
      <c r="D6" s="13">
        <v>14439.77</v>
      </c>
      <c r="E6" s="13">
        <f>C6-D6</f>
        <v>-14441.77</v>
      </c>
      <c r="F6" s="13">
        <f>E6+B6</f>
        <v>-14441.77</v>
      </c>
      <c r="G6" s="46" t="s">
        <v>19</v>
      </c>
    </row>
    <row r="7" spans="1:9" ht="31.5" customHeight="1" outlineLevel="1">
      <c r="A7" s="30" t="s">
        <v>25</v>
      </c>
      <c r="B7" s="30"/>
      <c r="C7" s="30">
        <f>C5+C6</f>
        <v>1078263.68</v>
      </c>
      <c r="D7" s="30">
        <f>D5+D6</f>
        <v>1072199.37</v>
      </c>
      <c r="E7" s="30">
        <f>E5+E6</f>
        <v>6064.309999999841</v>
      </c>
      <c r="F7" s="30">
        <f>F5+F6</f>
        <v>6064.309999999841</v>
      </c>
      <c r="G7" s="47"/>
      <c r="H7" s="67" t="e">
        <f>F7+F34+#REF!+#REF!+F70+F107+F131+F158+#REF!+#REF!+F186+F220+F248+F275+F295+F318+F342</f>
        <v>#REF!</v>
      </c>
      <c r="I7" s="67">
        <f>F7</f>
        <v>6064.309999999841</v>
      </c>
    </row>
    <row r="8" spans="1:7" ht="26.25" customHeight="1" outlineLevel="1">
      <c r="A8" s="29" t="s">
        <v>2</v>
      </c>
      <c r="B8" s="29"/>
      <c r="C8" s="15">
        <v>416024.47</v>
      </c>
      <c r="D8" s="13">
        <f>794996.92</f>
        <v>794996.92</v>
      </c>
      <c r="E8" s="13">
        <f aca="true" t="shared" si="0" ref="E8:E23">C8-D8</f>
        <v>-378972.45000000007</v>
      </c>
      <c r="F8" s="13">
        <f>E8+B8</f>
        <v>-378972.45000000007</v>
      </c>
      <c r="G8" s="46">
        <f>D8</f>
        <v>794996.92</v>
      </c>
    </row>
    <row r="9" spans="1:7" ht="26.25" customHeight="1" outlineLevel="1">
      <c r="A9" s="29" t="s">
        <v>95</v>
      </c>
      <c r="B9" s="29"/>
      <c r="C9" s="15">
        <v>2386783.18</v>
      </c>
      <c r="D9" s="13">
        <v>2288011.32</v>
      </c>
      <c r="E9" s="13">
        <f t="shared" si="0"/>
        <v>98771.86000000034</v>
      </c>
      <c r="F9" s="13">
        <f>E9+B9</f>
        <v>98771.86000000034</v>
      </c>
      <c r="G9" s="46"/>
    </row>
    <row r="10" spans="1:7" ht="39" customHeight="1" outlineLevel="1">
      <c r="A10" s="42" t="s">
        <v>78</v>
      </c>
      <c r="B10" s="29"/>
      <c r="C10" s="15">
        <v>409826.84</v>
      </c>
      <c r="D10" s="13">
        <v>396826.15</v>
      </c>
      <c r="E10" s="13">
        <f t="shared" si="0"/>
        <v>13000.690000000002</v>
      </c>
      <c r="F10" s="13">
        <f>E10+B10</f>
        <v>13000.690000000002</v>
      </c>
      <c r="G10" s="46"/>
    </row>
    <row r="11" spans="1:7" ht="39.75" customHeight="1" outlineLevel="1">
      <c r="A11" s="42" t="s">
        <v>79</v>
      </c>
      <c r="B11" s="29"/>
      <c r="C11" s="15">
        <v>121986.91</v>
      </c>
      <c r="D11" s="13">
        <v>156973.52</v>
      </c>
      <c r="E11" s="13">
        <f t="shared" si="0"/>
        <v>-34986.609999999986</v>
      </c>
      <c r="F11" s="13">
        <f>E11+B11</f>
        <v>-34986.609999999986</v>
      </c>
      <c r="G11" s="46"/>
    </row>
    <row r="12" spans="1:10" ht="41.25" customHeight="1" outlineLevel="1">
      <c r="A12" s="30" t="s">
        <v>26</v>
      </c>
      <c r="B12" s="30"/>
      <c r="C12" s="30">
        <f>SUM(C8:C11)</f>
        <v>3334621.4000000004</v>
      </c>
      <c r="D12" s="30">
        <f>SUM(D8:D11)</f>
        <v>3636807.9099999997</v>
      </c>
      <c r="E12" s="30">
        <f>SUM(E8:E11)</f>
        <v>-302186.5099999997</v>
      </c>
      <c r="F12" s="30">
        <f>SUM(F8:F11)</f>
        <v>-302186.5099999997</v>
      </c>
      <c r="G12" s="47"/>
      <c r="H12" s="67" t="e">
        <f>F12+F36+#REF!+F72+F112+F132+F163+F188+F225+F253+F322</f>
        <v>#REF!</v>
      </c>
      <c r="J12" s="67">
        <f>F12</f>
        <v>-302186.5099999997</v>
      </c>
    </row>
    <row r="13" spans="1:7" ht="26.25" customHeight="1" outlineLevel="1">
      <c r="A13" s="29" t="s">
        <v>3</v>
      </c>
      <c r="B13" s="29"/>
      <c r="C13" s="15">
        <v>9221029.58</v>
      </c>
      <c r="D13" s="13">
        <v>9996305.09</v>
      </c>
      <c r="E13" s="13">
        <f t="shared" si="0"/>
        <v>-775275.5099999998</v>
      </c>
      <c r="F13" s="13">
        <f>E13+B13</f>
        <v>-775275.5099999998</v>
      </c>
      <c r="G13" s="46">
        <f>D13</f>
        <v>9996305.09</v>
      </c>
    </row>
    <row r="14" spans="1:11" ht="26.25" customHeight="1" outlineLevel="1">
      <c r="A14" s="30" t="s">
        <v>27</v>
      </c>
      <c r="B14" s="30"/>
      <c r="C14" s="30">
        <f>C13</f>
        <v>9221029.58</v>
      </c>
      <c r="D14" s="30">
        <f>D13</f>
        <v>9996305.09</v>
      </c>
      <c r="E14" s="30">
        <f>E13</f>
        <v>-775275.5099999998</v>
      </c>
      <c r="F14" s="30">
        <f>F13</f>
        <v>-775275.5099999998</v>
      </c>
      <c r="G14" s="47"/>
      <c r="H14" s="67" t="e">
        <f>F14+F37+#REF!+#REF!+F74+F134+#REF!+F227+F254+F276+F297+F319+F345</f>
        <v>#REF!</v>
      </c>
      <c r="K14" s="67">
        <f>F14</f>
        <v>-775275.5099999998</v>
      </c>
    </row>
    <row r="15" spans="1:7" ht="26.25" customHeight="1" outlineLevel="1">
      <c r="A15" s="30" t="s">
        <v>6</v>
      </c>
      <c r="B15" s="30"/>
      <c r="C15" s="31">
        <v>9162860.78</v>
      </c>
      <c r="D15" s="32">
        <v>8857251.06</v>
      </c>
      <c r="E15" s="32">
        <f>C15-D15</f>
        <v>305609.7199999988</v>
      </c>
      <c r="F15" s="32">
        <f aca="true" t="shared" si="1" ref="F15:F20">E15+B15</f>
        <v>305609.7199999988</v>
      </c>
      <c r="G15" s="47">
        <f>D15</f>
        <v>8857251.06</v>
      </c>
    </row>
    <row r="16" spans="1:7" ht="26.25" customHeight="1" outlineLevel="1">
      <c r="A16" s="70" t="s">
        <v>71</v>
      </c>
      <c r="B16" s="70"/>
      <c r="C16" s="71">
        <v>33666.4</v>
      </c>
      <c r="D16" s="71">
        <v>35865.04</v>
      </c>
      <c r="E16" s="82">
        <f>C16-D16</f>
        <v>-2198.6399999999994</v>
      </c>
      <c r="F16" s="82">
        <f t="shared" si="1"/>
        <v>-2198.6399999999994</v>
      </c>
      <c r="G16" s="47"/>
    </row>
    <row r="17" spans="1:7" ht="32.25" customHeight="1" outlineLevel="1">
      <c r="A17" s="70" t="s">
        <v>72</v>
      </c>
      <c r="B17" s="70"/>
      <c r="C17" s="71">
        <v>204667.98</v>
      </c>
      <c r="D17" s="71">
        <v>189321.19</v>
      </c>
      <c r="E17" s="82">
        <f>C17-D17</f>
        <v>15346.790000000008</v>
      </c>
      <c r="F17" s="82">
        <f t="shared" si="1"/>
        <v>15346.790000000008</v>
      </c>
      <c r="G17" s="47"/>
    </row>
    <row r="18" spans="1:7" ht="26.25" customHeight="1" outlineLevel="1">
      <c r="A18" s="70" t="s">
        <v>73</v>
      </c>
      <c r="B18" s="70"/>
      <c r="C18" s="71">
        <v>957630.29</v>
      </c>
      <c r="D18" s="71">
        <v>840666.63</v>
      </c>
      <c r="E18" s="82">
        <f>C18-D18</f>
        <v>116963.66000000003</v>
      </c>
      <c r="F18" s="82">
        <f t="shared" si="1"/>
        <v>116963.66000000003</v>
      </c>
      <c r="G18" s="47"/>
    </row>
    <row r="19" spans="1:7" ht="26.25" customHeight="1" outlineLevel="1">
      <c r="A19" s="29" t="s">
        <v>7</v>
      </c>
      <c r="B19" s="29"/>
      <c r="C19" s="15">
        <v>1290925.91</v>
      </c>
      <c r="D19" s="13">
        <v>1267509.72</v>
      </c>
      <c r="E19" s="13">
        <f t="shared" si="0"/>
        <v>23416.189999999944</v>
      </c>
      <c r="F19" s="13">
        <f t="shared" si="1"/>
        <v>23416.189999999944</v>
      </c>
      <c r="G19" s="46">
        <f>D19</f>
        <v>1267509.72</v>
      </c>
    </row>
    <row r="20" spans="1:7" ht="40.5" customHeight="1" outlineLevel="1">
      <c r="A20" s="29" t="s">
        <v>34</v>
      </c>
      <c r="B20" s="29"/>
      <c r="C20" s="15">
        <v>239938.99</v>
      </c>
      <c r="D20" s="15">
        <v>205971.9</v>
      </c>
      <c r="E20" s="13">
        <f t="shared" si="0"/>
        <v>33967.09</v>
      </c>
      <c r="F20" s="13">
        <f t="shared" si="1"/>
        <v>33967.09</v>
      </c>
      <c r="G20" s="46"/>
    </row>
    <row r="21" spans="1:15" ht="40.5" customHeight="1" outlineLevel="1">
      <c r="A21" s="30" t="s">
        <v>28</v>
      </c>
      <c r="B21" s="30"/>
      <c r="C21" s="30">
        <f aca="true" t="shared" si="2" ref="C21:O21">C19+C20</f>
        <v>1530864.9</v>
      </c>
      <c r="D21" s="30">
        <f t="shared" si="2"/>
        <v>1473481.6199999999</v>
      </c>
      <c r="E21" s="30">
        <f t="shared" si="2"/>
        <v>57383.27999999994</v>
      </c>
      <c r="F21" s="30">
        <f t="shared" si="2"/>
        <v>57383.27999999994</v>
      </c>
      <c r="G21" s="30">
        <f t="shared" si="2"/>
        <v>1267509.72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0</v>
      </c>
      <c r="O21" s="30">
        <f t="shared" si="2"/>
        <v>0</v>
      </c>
    </row>
    <row r="22" spans="1:7" ht="40.5" customHeight="1" outlineLevel="1">
      <c r="A22" s="57" t="s">
        <v>5</v>
      </c>
      <c r="B22" s="30"/>
      <c r="C22" s="15">
        <v>512686.31</v>
      </c>
      <c r="D22" s="13">
        <v>67773.65</v>
      </c>
      <c r="E22" s="13">
        <f t="shared" si="0"/>
        <v>444912.66000000003</v>
      </c>
      <c r="F22" s="13">
        <f>E22+B22</f>
        <v>444912.66000000003</v>
      </c>
      <c r="G22" s="58"/>
    </row>
    <row r="23" spans="1:7" ht="40.5" customHeight="1" outlineLevel="1">
      <c r="A23" s="59" t="s">
        <v>59</v>
      </c>
      <c r="B23" s="30"/>
      <c r="C23" s="15">
        <v>157200.32</v>
      </c>
      <c r="D23" s="13">
        <v>153539.92</v>
      </c>
      <c r="E23" s="13">
        <f t="shared" si="0"/>
        <v>3660.399999999994</v>
      </c>
      <c r="F23" s="13">
        <f>E23+B23</f>
        <v>3660.399999999994</v>
      </c>
      <c r="G23" s="58"/>
    </row>
    <row r="24" spans="1:16" ht="40.5" customHeight="1" outlineLevel="1">
      <c r="A24" s="52" t="s">
        <v>62</v>
      </c>
      <c r="B24" s="52"/>
      <c r="C24" s="52">
        <f>C7+C12+C14+C15+C21+C22+C23+C29+C30+C31</f>
        <v>26193491.639999993</v>
      </c>
      <c r="D24" s="52">
        <f>D7+D12+D14+D15+D21+D22+D23+D29+D30+D31</f>
        <v>26323211.48</v>
      </c>
      <c r="E24" s="52">
        <f>E7+E12+E14+E15+E21+E22+E23+E29+E30+E31</f>
        <v>-129719.84000000093</v>
      </c>
      <c r="F24" s="52">
        <f>F7+F12+F14+F15+F21+F22+F23+F29+F30+F31</f>
        <v>-129719.84000000093</v>
      </c>
      <c r="G24" s="48">
        <f>G7+G12+G14+G15+G21</f>
        <v>10124760.780000001</v>
      </c>
      <c r="P24" s="67"/>
    </row>
    <row r="25" spans="1:7" ht="16.5" customHeight="1" outlineLevel="1">
      <c r="A25" s="52" t="s">
        <v>29</v>
      </c>
      <c r="B25" s="52"/>
      <c r="C25" s="52"/>
      <c r="D25" s="52"/>
      <c r="E25" s="52"/>
      <c r="F25" s="52"/>
      <c r="G25" s="47"/>
    </row>
    <row r="26" spans="1:7" ht="30.75" customHeight="1" outlineLevel="1">
      <c r="A26" s="52" t="s">
        <v>30</v>
      </c>
      <c r="B26" s="52"/>
      <c r="C26" s="52">
        <f aca="true" t="shared" si="3" ref="B26:G26">C15</f>
        <v>9162860.78</v>
      </c>
      <c r="D26" s="52">
        <f t="shared" si="3"/>
        <v>8857251.06</v>
      </c>
      <c r="E26" s="52">
        <f t="shared" si="3"/>
        <v>305609.7199999988</v>
      </c>
      <c r="F26" s="52">
        <f t="shared" si="3"/>
        <v>305609.7199999988</v>
      </c>
      <c r="G26" s="48">
        <f t="shared" si="3"/>
        <v>8857251.06</v>
      </c>
    </row>
    <row r="27" spans="1:7" ht="27.75" customHeight="1" outlineLevel="1">
      <c r="A27" s="52" t="s">
        <v>31</v>
      </c>
      <c r="B27" s="52"/>
      <c r="C27" s="52">
        <f aca="true" t="shared" si="4" ref="B27:G27">C7+C12+C14+C21</f>
        <v>15164779.56</v>
      </c>
      <c r="D27" s="52">
        <f t="shared" si="4"/>
        <v>16178793.989999998</v>
      </c>
      <c r="E27" s="52">
        <f t="shared" si="4"/>
        <v>-1014014.4299999998</v>
      </c>
      <c r="F27" s="52">
        <f t="shared" si="4"/>
        <v>-1014014.4299999998</v>
      </c>
      <c r="G27" s="48">
        <f t="shared" si="4"/>
        <v>1267509.72</v>
      </c>
    </row>
    <row r="28" spans="1:7" ht="30" customHeight="1" outlineLevel="1">
      <c r="A28" s="52" t="s">
        <v>51</v>
      </c>
      <c r="B28" s="52"/>
      <c r="C28" s="52">
        <f>C22+C23</f>
        <v>669886.63</v>
      </c>
      <c r="D28" s="52">
        <f>D22+D23</f>
        <v>221313.57</v>
      </c>
      <c r="E28" s="52">
        <f>E22+E23</f>
        <v>448573.06000000006</v>
      </c>
      <c r="F28" s="52">
        <f>F22+F23</f>
        <v>448573.06000000006</v>
      </c>
      <c r="G28" s="48"/>
    </row>
    <row r="29" spans="1:7" ht="30" customHeight="1" outlineLevel="1">
      <c r="A29" s="72" t="s">
        <v>74</v>
      </c>
      <c r="B29" s="52"/>
      <c r="C29" s="52">
        <f aca="true" t="shared" si="5" ref="B29:F31">C16</f>
        <v>33666.4</v>
      </c>
      <c r="D29" s="52">
        <f t="shared" si="5"/>
        <v>35865.04</v>
      </c>
      <c r="E29" s="52">
        <f t="shared" si="5"/>
        <v>-2198.6399999999994</v>
      </c>
      <c r="F29" s="52">
        <f t="shared" si="5"/>
        <v>-2198.6399999999994</v>
      </c>
      <c r="G29" s="48"/>
    </row>
    <row r="30" spans="1:7" ht="30" customHeight="1" outlineLevel="1">
      <c r="A30" s="72" t="s">
        <v>75</v>
      </c>
      <c r="B30" s="52"/>
      <c r="C30" s="52">
        <f t="shared" si="5"/>
        <v>204667.98</v>
      </c>
      <c r="D30" s="52">
        <f t="shared" si="5"/>
        <v>189321.19</v>
      </c>
      <c r="E30" s="52">
        <f t="shared" si="5"/>
        <v>15346.790000000008</v>
      </c>
      <c r="F30" s="52">
        <f t="shared" si="5"/>
        <v>15346.790000000008</v>
      </c>
      <c r="G30" s="48"/>
    </row>
    <row r="31" spans="1:7" ht="30" customHeight="1" outlineLevel="1">
      <c r="A31" s="72" t="s">
        <v>76</v>
      </c>
      <c r="B31" s="52"/>
      <c r="C31" s="52">
        <f t="shared" si="5"/>
        <v>957630.29</v>
      </c>
      <c r="D31" s="52">
        <f t="shared" si="5"/>
        <v>840666.63</v>
      </c>
      <c r="E31" s="52">
        <f t="shared" si="5"/>
        <v>116963.66000000003</v>
      </c>
      <c r="F31" s="52">
        <f t="shared" si="5"/>
        <v>116963.66000000003</v>
      </c>
      <c r="G31" s="48"/>
    </row>
    <row r="32" spans="1:7" ht="63" customHeight="1">
      <c r="A32" s="37" t="s">
        <v>21</v>
      </c>
      <c r="B32" s="37"/>
      <c r="C32" s="37" t="s">
        <v>68</v>
      </c>
      <c r="D32" s="38" t="s">
        <v>69</v>
      </c>
      <c r="E32" s="39" t="s">
        <v>24</v>
      </c>
      <c r="F32" s="39" t="s">
        <v>70</v>
      </c>
      <c r="G32" s="49" t="s">
        <v>19</v>
      </c>
    </row>
    <row r="33" spans="1:7" ht="26.25" customHeight="1" outlineLevel="1">
      <c r="A33" s="16" t="s">
        <v>32</v>
      </c>
      <c r="B33" s="40"/>
      <c r="C33" s="41"/>
      <c r="D33" s="41"/>
      <c r="E33" s="41"/>
      <c r="F33" s="41"/>
      <c r="G33" s="50"/>
    </row>
    <row r="34" spans="1:9" ht="26.25" customHeight="1" outlineLevel="1">
      <c r="A34" s="42" t="s">
        <v>0</v>
      </c>
      <c r="B34" s="42"/>
      <c r="C34" s="34">
        <v>374368.47</v>
      </c>
      <c r="D34" s="34">
        <v>347474.2</v>
      </c>
      <c r="E34" s="33">
        <f aca="true" t="shared" si="6" ref="E34:E59">C34-D34</f>
        <v>26894.26999999996</v>
      </c>
      <c r="F34" s="33">
        <f aca="true" t="shared" si="7" ref="F34:F59">E34+B34</f>
        <v>26894.26999999996</v>
      </c>
      <c r="G34" s="46">
        <f>D34</f>
        <v>347474.2</v>
      </c>
      <c r="I34" s="67">
        <f>F34</f>
        <v>26894.26999999996</v>
      </c>
    </row>
    <row r="35" spans="1:9" ht="36" customHeight="1" outlineLevel="1">
      <c r="A35" s="42" t="s">
        <v>85</v>
      </c>
      <c r="B35" s="42"/>
      <c r="C35" s="34">
        <v>1599253.02</v>
      </c>
      <c r="D35" s="34">
        <v>1312851.59</v>
      </c>
      <c r="E35" s="33">
        <f t="shared" si="6"/>
        <v>286401.42999999993</v>
      </c>
      <c r="F35" s="33">
        <f t="shared" si="7"/>
        <v>286401.42999999993</v>
      </c>
      <c r="G35" s="46"/>
      <c r="I35" s="67"/>
    </row>
    <row r="36" spans="1:10" ht="26.25" customHeight="1" outlineLevel="1">
      <c r="A36" s="42" t="s">
        <v>2</v>
      </c>
      <c r="B36" s="42"/>
      <c r="C36" s="34">
        <v>22485.67</v>
      </c>
      <c r="D36" s="34">
        <v>250282.95</v>
      </c>
      <c r="E36" s="33">
        <f t="shared" si="6"/>
        <v>-227797.28000000003</v>
      </c>
      <c r="F36" s="33">
        <f t="shared" si="7"/>
        <v>-227797.28000000003</v>
      </c>
      <c r="G36" s="46">
        <f>D36</f>
        <v>250282.95</v>
      </c>
      <c r="J36" s="67">
        <f>F36</f>
        <v>-227797.28000000003</v>
      </c>
    </row>
    <row r="37" spans="1:11" ht="26.25" customHeight="1" outlineLevel="1">
      <c r="A37" s="42" t="s">
        <v>3</v>
      </c>
      <c r="B37" s="42"/>
      <c r="C37" s="34">
        <v>-225096.93</v>
      </c>
      <c r="D37" s="34">
        <v>1009008.25</v>
      </c>
      <c r="E37" s="33">
        <f t="shared" si="6"/>
        <v>-1234105.18</v>
      </c>
      <c r="F37" s="33">
        <f t="shared" si="7"/>
        <v>-1234105.18</v>
      </c>
      <c r="G37" s="46">
        <f>D37</f>
        <v>1009008.25</v>
      </c>
      <c r="K37" s="67">
        <f>F37</f>
        <v>-1234105.18</v>
      </c>
    </row>
    <row r="38" spans="1:11" ht="26.25" customHeight="1" outlineLevel="1">
      <c r="A38" s="42" t="s">
        <v>95</v>
      </c>
      <c r="B38" s="42"/>
      <c r="C38" s="34">
        <v>499471.82</v>
      </c>
      <c r="D38" s="34">
        <v>430908.47</v>
      </c>
      <c r="E38" s="33">
        <f t="shared" si="6"/>
        <v>68563.35000000003</v>
      </c>
      <c r="F38" s="33">
        <f t="shared" si="7"/>
        <v>68563.35000000003</v>
      </c>
      <c r="G38" s="46"/>
      <c r="K38" s="67"/>
    </row>
    <row r="39" spans="1:11" ht="26.25" customHeight="1" outlineLevel="1">
      <c r="A39" s="42" t="s">
        <v>6</v>
      </c>
      <c r="B39" s="42"/>
      <c r="C39" s="34">
        <v>4033938.13</v>
      </c>
      <c r="D39" s="34">
        <f>3278619.61+3609.35</f>
        <v>3282228.96</v>
      </c>
      <c r="E39" s="33">
        <f t="shared" si="6"/>
        <v>751709.1699999999</v>
      </c>
      <c r="F39" s="33">
        <f t="shared" si="7"/>
        <v>751709.1699999999</v>
      </c>
      <c r="G39" s="46">
        <f>D39</f>
        <v>3282228.96</v>
      </c>
      <c r="K39" s="67"/>
    </row>
    <row r="40" spans="1:11" ht="26.25" customHeight="1" outlineLevel="1">
      <c r="A40" s="70" t="s">
        <v>71</v>
      </c>
      <c r="B40" s="73"/>
      <c r="C40" s="71">
        <v>5315.76</v>
      </c>
      <c r="D40" s="71">
        <v>4644.4</v>
      </c>
      <c r="E40" s="83">
        <f t="shared" si="6"/>
        <v>671.3600000000006</v>
      </c>
      <c r="F40" s="83">
        <f t="shared" si="7"/>
        <v>671.3600000000006</v>
      </c>
      <c r="G40" s="46"/>
      <c r="K40" s="67"/>
    </row>
    <row r="41" spans="1:11" ht="32.25" customHeight="1" outlineLevel="1">
      <c r="A41" s="70" t="s">
        <v>80</v>
      </c>
      <c r="B41" s="73"/>
      <c r="C41" s="71">
        <v>2794.03</v>
      </c>
      <c r="D41" s="71">
        <v>2715.88</v>
      </c>
      <c r="E41" s="83">
        <f t="shared" si="6"/>
        <v>78.15000000000009</v>
      </c>
      <c r="F41" s="83">
        <f t="shared" si="7"/>
        <v>78.15000000000009</v>
      </c>
      <c r="G41" s="46"/>
      <c r="K41" s="67"/>
    </row>
    <row r="42" spans="1:11" ht="26.25" customHeight="1" outlineLevel="1">
      <c r="A42" s="70" t="s">
        <v>73</v>
      </c>
      <c r="B42" s="73"/>
      <c r="C42" s="71">
        <f>283739.11-20083.02-8207.61</f>
        <v>255448.47999999998</v>
      </c>
      <c r="D42" s="71">
        <f>265920.31+16.45+7.3+8.64</f>
        <v>265952.7</v>
      </c>
      <c r="E42" s="83">
        <f t="shared" si="6"/>
        <v>-10504.22000000003</v>
      </c>
      <c r="F42" s="83">
        <f t="shared" si="7"/>
        <v>-10504.22000000003</v>
      </c>
      <c r="G42" s="46"/>
      <c r="K42" s="67"/>
    </row>
    <row r="43" spans="1:12" ht="26.25" customHeight="1" outlineLevel="1">
      <c r="A43" s="42" t="s">
        <v>7</v>
      </c>
      <c r="B43" s="42"/>
      <c r="C43" s="34">
        <v>438165.44</v>
      </c>
      <c r="D43" s="34">
        <v>404325.39</v>
      </c>
      <c r="E43" s="33">
        <f t="shared" si="6"/>
        <v>33840.04999999999</v>
      </c>
      <c r="F43" s="33">
        <f t="shared" si="7"/>
        <v>33840.04999999999</v>
      </c>
      <c r="G43" s="46" t="s">
        <v>19</v>
      </c>
      <c r="L43" s="67">
        <f>F43</f>
        <v>33840.04999999999</v>
      </c>
    </row>
    <row r="44" spans="1:12" ht="33" customHeight="1" outlineLevel="1">
      <c r="A44" s="42" t="s">
        <v>82</v>
      </c>
      <c r="B44" s="42"/>
      <c r="C44" s="34">
        <v>234081.62</v>
      </c>
      <c r="D44" s="34">
        <v>194520.51</v>
      </c>
      <c r="E44" s="33">
        <f t="shared" si="6"/>
        <v>39561.109999999986</v>
      </c>
      <c r="F44" s="33">
        <f t="shared" si="7"/>
        <v>39561.109999999986</v>
      </c>
      <c r="G44" s="46"/>
      <c r="L44" s="67"/>
    </row>
    <row r="45" spans="1:12" ht="30.75" customHeight="1" outlineLevel="1">
      <c r="A45" s="42" t="s">
        <v>83</v>
      </c>
      <c r="B45" s="42"/>
      <c r="C45" s="34">
        <v>55358.35</v>
      </c>
      <c r="D45" s="34">
        <v>17387.75</v>
      </c>
      <c r="E45" s="33">
        <f t="shared" si="6"/>
        <v>37970.6</v>
      </c>
      <c r="F45" s="33">
        <f t="shared" si="7"/>
        <v>37970.6</v>
      </c>
      <c r="G45" s="46"/>
      <c r="L45" s="67"/>
    </row>
    <row r="46" spans="1:13" ht="26.25" customHeight="1" outlineLevel="1">
      <c r="A46" s="42" t="s">
        <v>11</v>
      </c>
      <c r="B46" s="42"/>
      <c r="C46" s="34">
        <v>1618831.94</v>
      </c>
      <c r="D46" s="34">
        <f>1493345.57</f>
        <v>1493345.57</v>
      </c>
      <c r="E46" s="33">
        <f t="shared" si="6"/>
        <v>125486.36999999988</v>
      </c>
      <c r="F46" s="33">
        <f t="shared" si="7"/>
        <v>125486.36999999988</v>
      </c>
      <c r="G46" s="46">
        <f>D46</f>
        <v>1493345.57</v>
      </c>
      <c r="H46" s="67">
        <f>F46+F82+F141+F173+F206</f>
        <v>431066.6400000001</v>
      </c>
      <c r="M46" s="67">
        <f>F46</f>
        <v>125486.36999999988</v>
      </c>
    </row>
    <row r="47" spans="1:13" ht="33.75" customHeight="1" outlineLevel="1">
      <c r="A47" s="42" t="s">
        <v>63</v>
      </c>
      <c r="B47" s="42"/>
      <c r="C47" s="34">
        <v>204491.01</v>
      </c>
      <c r="D47" s="34">
        <v>186738.85</v>
      </c>
      <c r="E47" s="33">
        <f t="shared" si="6"/>
        <v>17752.160000000003</v>
      </c>
      <c r="F47" s="33">
        <f t="shared" si="7"/>
        <v>17752.160000000003</v>
      </c>
      <c r="G47" s="46"/>
      <c r="H47" s="67"/>
      <c r="M47" s="67"/>
    </row>
    <row r="48" spans="1:7" ht="26.25" customHeight="1" outlineLevel="1">
      <c r="A48" s="42" t="s">
        <v>84</v>
      </c>
      <c r="B48" s="42"/>
      <c r="C48" s="15">
        <v>38418.38</v>
      </c>
      <c r="D48" s="15">
        <v>32413.49</v>
      </c>
      <c r="E48" s="33">
        <f t="shared" si="6"/>
        <v>6004.889999999996</v>
      </c>
      <c r="F48" s="33">
        <f t="shared" si="7"/>
        <v>6004.889999999996</v>
      </c>
      <c r="G48" s="46"/>
    </row>
    <row r="49" spans="1:7" ht="32.25" customHeight="1" outlineLevel="1">
      <c r="A49" s="28" t="s">
        <v>52</v>
      </c>
      <c r="B49" s="42"/>
      <c r="C49" s="15">
        <v>277241.06</v>
      </c>
      <c r="D49" s="15">
        <v>272219.37</v>
      </c>
      <c r="E49" s="33">
        <f t="shared" si="6"/>
        <v>5021.690000000002</v>
      </c>
      <c r="F49" s="33">
        <f t="shared" si="7"/>
        <v>5021.690000000002</v>
      </c>
      <c r="G49" s="46"/>
    </row>
    <row r="50" spans="1:7" ht="33" customHeight="1" outlineLevel="1">
      <c r="A50" s="28" t="s">
        <v>10</v>
      </c>
      <c r="B50" s="42"/>
      <c r="C50" s="15">
        <v>144594.59</v>
      </c>
      <c r="D50" s="15">
        <v>141144.19</v>
      </c>
      <c r="E50" s="33">
        <f t="shared" si="6"/>
        <v>3450.399999999994</v>
      </c>
      <c r="F50" s="33">
        <f t="shared" si="7"/>
        <v>3450.399999999994</v>
      </c>
      <c r="G50" s="46"/>
    </row>
    <row r="51" spans="1:7" ht="33" customHeight="1" outlineLevel="1">
      <c r="A51" s="28" t="s">
        <v>86</v>
      </c>
      <c r="B51" s="42"/>
      <c r="C51" s="15">
        <v>185455.57</v>
      </c>
      <c r="D51" s="15">
        <v>170344.81</v>
      </c>
      <c r="E51" s="33">
        <f t="shared" si="6"/>
        <v>15110.76000000001</v>
      </c>
      <c r="F51" s="33">
        <f t="shared" si="7"/>
        <v>15110.76000000001</v>
      </c>
      <c r="G51" s="46"/>
    </row>
    <row r="52" spans="1:7" ht="33" customHeight="1" outlineLevel="1">
      <c r="A52" s="28" t="s">
        <v>87</v>
      </c>
      <c r="B52" s="42"/>
      <c r="C52" s="15">
        <v>96045.95</v>
      </c>
      <c r="D52" s="15">
        <v>81033.59</v>
      </c>
      <c r="E52" s="33">
        <f t="shared" si="6"/>
        <v>15012.36</v>
      </c>
      <c r="F52" s="33">
        <f t="shared" si="7"/>
        <v>15012.36</v>
      </c>
      <c r="G52" s="46"/>
    </row>
    <row r="53" spans="1:7" ht="33" customHeight="1" outlineLevel="1">
      <c r="A53" s="28" t="s">
        <v>90</v>
      </c>
      <c r="B53" s="42"/>
      <c r="C53" s="15">
        <v>1934365.95</v>
      </c>
      <c r="D53" s="15">
        <v>1632016.09</v>
      </c>
      <c r="E53" s="33">
        <f t="shared" si="6"/>
        <v>302349.85999999987</v>
      </c>
      <c r="F53" s="33">
        <f t="shared" si="7"/>
        <v>302349.85999999987</v>
      </c>
      <c r="G53" s="46"/>
    </row>
    <row r="54" spans="1:7" ht="33" customHeight="1" outlineLevel="1">
      <c r="A54" s="85" t="s">
        <v>88</v>
      </c>
      <c r="B54" s="85"/>
      <c r="C54" s="15">
        <v>18859.97</v>
      </c>
      <c r="D54" s="15">
        <v>3896.37</v>
      </c>
      <c r="E54" s="33">
        <f t="shared" si="6"/>
        <v>14963.600000000002</v>
      </c>
      <c r="F54" s="33">
        <f t="shared" si="7"/>
        <v>14963.600000000002</v>
      </c>
      <c r="G54" s="46"/>
    </row>
    <row r="55" spans="1:7" ht="33" customHeight="1" outlineLevel="1">
      <c r="A55" s="85" t="s">
        <v>89</v>
      </c>
      <c r="B55" s="85"/>
      <c r="C55" s="15">
        <v>28289.86</v>
      </c>
      <c r="D55" s="15">
        <v>5883.88</v>
      </c>
      <c r="E55" s="33">
        <f t="shared" si="6"/>
        <v>22405.98</v>
      </c>
      <c r="F55" s="33">
        <f t="shared" si="7"/>
        <v>22405.98</v>
      </c>
      <c r="G55" s="46"/>
    </row>
    <row r="56" spans="1:7" ht="33" customHeight="1" outlineLevel="1">
      <c r="A56" s="85" t="s">
        <v>56</v>
      </c>
      <c r="B56" s="85"/>
      <c r="C56" s="15">
        <v>15943.32</v>
      </c>
      <c r="D56" s="15">
        <v>65046.25</v>
      </c>
      <c r="E56" s="33">
        <f t="shared" si="6"/>
        <v>-49102.93</v>
      </c>
      <c r="F56" s="33">
        <f t="shared" si="7"/>
        <v>-49102.93</v>
      </c>
      <c r="G56" s="46"/>
    </row>
    <row r="57" spans="1:7" ht="26.25" customHeight="1" outlineLevel="1">
      <c r="A57" s="28" t="s">
        <v>53</v>
      </c>
      <c r="B57" s="42"/>
      <c r="C57" s="15">
        <v>370416.4</v>
      </c>
      <c r="D57" s="15">
        <v>364519</v>
      </c>
      <c r="E57" s="33">
        <f t="shared" si="6"/>
        <v>5897.400000000023</v>
      </c>
      <c r="F57" s="33">
        <f t="shared" si="7"/>
        <v>5897.400000000023</v>
      </c>
      <c r="G57" s="46"/>
    </row>
    <row r="58" spans="1:7" ht="26.25" customHeight="1" outlineLevel="1">
      <c r="A58" s="28" t="s">
        <v>54</v>
      </c>
      <c r="B58" s="42"/>
      <c r="C58" s="15">
        <v>1930200</v>
      </c>
      <c r="D58" s="15">
        <v>1895238.39</v>
      </c>
      <c r="E58" s="33">
        <f t="shared" si="6"/>
        <v>34961.6100000001</v>
      </c>
      <c r="F58" s="33">
        <f t="shared" si="7"/>
        <v>34961.6100000001</v>
      </c>
      <c r="G58" s="46"/>
    </row>
    <row r="59" spans="1:7" ht="26.25" customHeight="1" outlineLevel="1">
      <c r="A59" s="28" t="s">
        <v>5</v>
      </c>
      <c r="B59" s="42"/>
      <c r="C59" s="15">
        <v>306575.38</v>
      </c>
      <c r="D59" s="15">
        <v>158776.37</v>
      </c>
      <c r="E59" s="33">
        <f t="shared" si="6"/>
        <v>147799.01</v>
      </c>
      <c r="F59" s="33">
        <f t="shared" si="7"/>
        <v>147799.01</v>
      </c>
      <c r="G59" s="46"/>
    </row>
    <row r="60" spans="1:16" ht="44.25" customHeight="1" outlineLevel="1">
      <c r="A60" s="52" t="s">
        <v>64</v>
      </c>
      <c r="B60" s="52"/>
      <c r="C60" s="52">
        <f>SUM(C33:C59)</f>
        <v>14465313.24</v>
      </c>
      <c r="D60" s="52">
        <f>SUM(D33:D59)</f>
        <v>14024917.269999998</v>
      </c>
      <c r="E60" s="52">
        <f>SUM(E33:E59)</f>
        <v>440395.9699999998</v>
      </c>
      <c r="F60" s="52">
        <f>SUM(F33:F59)</f>
        <v>440395.9699999998</v>
      </c>
      <c r="G60" s="52" t="e">
        <f aca="true" t="shared" si="8" ref="G60:O60">G34+G36+G37+G39+G43+G46+G48+G49+G50+G57+G58+G59+G65+G67+G41+G44+G45+G47+G35+G51+G52+G53+G54+G55</f>
        <v>#VALUE!</v>
      </c>
      <c r="H60" s="52">
        <f t="shared" si="8"/>
        <v>431066.6400000001</v>
      </c>
      <c r="I60" s="52">
        <f t="shared" si="8"/>
        <v>26894.26999999996</v>
      </c>
      <c r="J60" s="52">
        <f t="shared" si="8"/>
        <v>-227797.28000000003</v>
      </c>
      <c r="K60" s="52">
        <f t="shared" si="8"/>
        <v>-1234105.18</v>
      </c>
      <c r="L60" s="52">
        <f t="shared" si="8"/>
        <v>33840.04999999999</v>
      </c>
      <c r="M60" s="52">
        <f t="shared" si="8"/>
        <v>125486.36999999988</v>
      </c>
      <c r="N60" s="52">
        <f t="shared" si="8"/>
        <v>0</v>
      </c>
      <c r="O60" s="52">
        <f t="shared" si="8"/>
        <v>0</v>
      </c>
      <c r="P60" s="67"/>
    </row>
    <row r="61" spans="1:7" ht="26.25" customHeight="1" outlineLevel="1">
      <c r="A61" s="52" t="s">
        <v>29</v>
      </c>
      <c r="B61" s="52"/>
      <c r="C61" s="52"/>
      <c r="D61" s="52"/>
      <c r="E61" s="52"/>
      <c r="F61" s="52"/>
      <c r="G61" s="36"/>
    </row>
    <row r="62" spans="1:7" ht="26.25" customHeight="1" outlineLevel="1">
      <c r="A62" s="52" t="s">
        <v>30</v>
      </c>
      <c r="B62" s="52"/>
      <c r="C62" s="52">
        <f>C39</f>
        <v>4033938.13</v>
      </c>
      <c r="D62" s="52">
        <f>D39</f>
        <v>3282228.96</v>
      </c>
      <c r="E62" s="52">
        <f>E39</f>
        <v>751709.1699999999</v>
      </c>
      <c r="F62" s="52">
        <f>F39</f>
        <v>751709.1699999999</v>
      </c>
      <c r="G62" s="36"/>
    </row>
    <row r="63" spans="1:15" ht="26.25" customHeight="1" outlineLevel="1">
      <c r="A63" s="52" t="s">
        <v>31</v>
      </c>
      <c r="B63" s="52"/>
      <c r="C63" s="52">
        <f>C34+C36+C37+C43+C46+C44+C45+C47+C35+C38</f>
        <v>4821410.41</v>
      </c>
      <c r="D63" s="52">
        <f>D34+D36+D37+D43+D46+D44+D45+D47+D35+D38</f>
        <v>5646843.53</v>
      </c>
      <c r="E63" s="52">
        <f>E34+E36+E37+E43+E46+E44+E45+E47+E35+E38</f>
        <v>-825433.1200000001</v>
      </c>
      <c r="F63" s="52">
        <f>F34+F36+F37+F43+F46+F44+F45+F47+F35+F38</f>
        <v>-825433.1200000001</v>
      </c>
      <c r="G63" s="52" t="e">
        <f aca="true" t="shared" si="9" ref="G63:O63">G34+G36+G37+G43+G46+G44+G45+G47</f>
        <v>#VALUE!</v>
      </c>
      <c r="H63" s="52">
        <f t="shared" si="9"/>
        <v>431066.6400000001</v>
      </c>
      <c r="I63" s="52">
        <f t="shared" si="9"/>
        <v>26894.26999999996</v>
      </c>
      <c r="J63" s="52">
        <f t="shared" si="9"/>
        <v>-227797.28000000003</v>
      </c>
      <c r="K63" s="52">
        <f t="shared" si="9"/>
        <v>-1234105.18</v>
      </c>
      <c r="L63" s="52">
        <f t="shared" si="9"/>
        <v>33840.04999999999</v>
      </c>
      <c r="M63" s="52">
        <f t="shared" si="9"/>
        <v>125486.36999999988</v>
      </c>
      <c r="N63" s="52">
        <f t="shared" si="9"/>
        <v>0</v>
      </c>
      <c r="O63" s="52">
        <f t="shared" si="9"/>
        <v>0</v>
      </c>
    </row>
    <row r="64" spans="1:15" ht="26.25" customHeight="1" outlineLevel="1">
      <c r="A64" s="52" t="s">
        <v>51</v>
      </c>
      <c r="B64" s="52"/>
      <c r="C64" s="52">
        <f aca="true" t="shared" si="10" ref="C64:O64">C48+C49+C50+C57+C58+C59+C51+C52+C54+C55+C53+C56</f>
        <v>5346406.430000001</v>
      </c>
      <c r="D64" s="52">
        <f t="shared" si="10"/>
        <v>4822531.8</v>
      </c>
      <c r="E64" s="52">
        <f t="shared" si="10"/>
        <v>523874.63000000006</v>
      </c>
      <c r="F64" s="52">
        <f t="shared" si="10"/>
        <v>523874.63000000006</v>
      </c>
      <c r="G64" s="52">
        <f t="shared" si="10"/>
        <v>0</v>
      </c>
      <c r="H64" s="52">
        <f t="shared" si="10"/>
        <v>0</v>
      </c>
      <c r="I64" s="52">
        <f t="shared" si="10"/>
        <v>0</v>
      </c>
      <c r="J64" s="52">
        <f t="shared" si="10"/>
        <v>0</v>
      </c>
      <c r="K64" s="52">
        <f t="shared" si="10"/>
        <v>0</v>
      </c>
      <c r="L64" s="52">
        <f t="shared" si="10"/>
        <v>0</v>
      </c>
      <c r="M64" s="52">
        <f t="shared" si="10"/>
        <v>0</v>
      </c>
      <c r="N64" s="52">
        <f t="shared" si="10"/>
        <v>0</v>
      </c>
      <c r="O64" s="52">
        <f t="shared" si="10"/>
        <v>0</v>
      </c>
    </row>
    <row r="65" spans="1:7" ht="26.25" customHeight="1" outlineLevel="1">
      <c r="A65" s="72" t="s">
        <v>74</v>
      </c>
      <c r="B65" s="72"/>
      <c r="C65" s="72">
        <f aca="true" t="shared" si="11" ref="B65:F67">C40</f>
        <v>5315.76</v>
      </c>
      <c r="D65" s="72">
        <f t="shared" si="11"/>
        <v>4644.4</v>
      </c>
      <c r="E65" s="72">
        <f t="shared" si="11"/>
        <v>671.3600000000006</v>
      </c>
      <c r="F65" s="72">
        <f t="shared" si="11"/>
        <v>671.3600000000006</v>
      </c>
      <c r="G65" s="75"/>
    </row>
    <row r="66" spans="1:7" ht="26.25" customHeight="1" outlineLevel="1">
      <c r="A66" s="72" t="s">
        <v>81</v>
      </c>
      <c r="B66" s="72"/>
      <c r="C66" s="72">
        <f t="shared" si="11"/>
        <v>2794.03</v>
      </c>
      <c r="D66" s="72">
        <f t="shared" si="11"/>
        <v>2715.88</v>
      </c>
      <c r="E66" s="72">
        <f t="shared" si="11"/>
        <v>78.15000000000009</v>
      </c>
      <c r="F66" s="72">
        <f t="shared" si="11"/>
        <v>78.15000000000009</v>
      </c>
      <c r="G66" s="75"/>
    </row>
    <row r="67" spans="1:7" ht="26.25" customHeight="1" outlineLevel="1">
      <c r="A67" s="72" t="s">
        <v>76</v>
      </c>
      <c r="B67" s="72"/>
      <c r="C67" s="72">
        <f t="shared" si="11"/>
        <v>255448.47999999998</v>
      </c>
      <c r="D67" s="72">
        <f t="shared" si="11"/>
        <v>265952.7</v>
      </c>
      <c r="E67" s="72">
        <f t="shared" si="11"/>
        <v>-10504.22000000003</v>
      </c>
      <c r="F67" s="72">
        <f t="shared" si="11"/>
        <v>-10504.22000000003</v>
      </c>
      <c r="G67" s="75"/>
    </row>
    <row r="68" spans="1:7" ht="59.25" customHeight="1">
      <c r="A68" s="37" t="s">
        <v>21</v>
      </c>
      <c r="B68" s="37"/>
      <c r="C68" s="37" t="s">
        <v>68</v>
      </c>
      <c r="D68" s="38" t="s">
        <v>69</v>
      </c>
      <c r="E68" s="39" t="s">
        <v>24</v>
      </c>
      <c r="F68" s="39" t="s">
        <v>70</v>
      </c>
      <c r="G68" s="19" t="s">
        <v>19</v>
      </c>
    </row>
    <row r="69" spans="1:7" ht="26.25" customHeight="1" outlineLevel="1">
      <c r="A69" s="16" t="s">
        <v>35</v>
      </c>
      <c r="B69" s="20"/>
      <c r="C69" s="12"/>
      <c r="D69" s="12"/>
      <c r="E69" s="10"/>
      <c r="F69" s="10"/>
      <c r="G69" s="10"/>
    </row>
    <row r="70" spans="1:9" ht="26.25" customHeight="1" outlineLevel="1">
      <c r="A70" s="29" t="s">
        <v>0</v>
      </c>
      <c r="B70" s="29"/>
      <c r="C70" s="15">
        <v>470426.64</v>
      </c>
      <c r="D70" s="15">
        <v>423568.21</v>
      </c>
      <c r="E70" s="13">
        <f aca="true" t="shared" si="12" ref="E70:E94">C70-D70</f>
        <v>46858.42999999999</v>
      </c>
      <c r="F70" s="13">
        <f aca="true" t="shared" si="13" ref="F70:F94">E70+B70</f>
        <v>46858.42999999999</v>
      </c>
      <c r="G70" s="13">
        <f aca="true" t="shared" si="14" ref="G70:G82">D70</f>
        <v>423568.21</v>
      </c>
      <c r="I70" s="67">
        <f>F70</f>
        <v>46858.42999999999</v>
      </c>
    </row>
    <row r="71" spans="1:9" ht="38.25" customHeight="1" outlineLevel="1">
      <c r="A71" s="42" t="s">
        <v>85</v>
      </c>
      <c r="B71" s="29"/>
      <c r="C71" s="15">
        <v>3032080.01</v>
      </c>
      <c r="D71" s="15">
        <v>2358106.73</v>
      </c>
      <c r="E71" s="13">
        <f t="shared" si="12"/>
        <v>673973.2799999998</v>
      </c>
      <c r="F71" s="13">
        <f t="shared" si="13"/>
        <v>673973.2799999998</v>
      </c>
      <c r="G71" s="13"/>
      <c r="I71" s="67"/>
    </row>
    <row r="72" spans="1:10" ht="26.25" customHeight="1" outlineLevel="1">
      <c r="A72" s="29" t="s">
        <v>2</v>
      </c>
      <c r="B72" s="29"/>
      <c r="C72" s="15">
        <f>25987.1</f>
        <v>25987.1</v>
      </c>
      <c r="D72" s="15">
        <v>283301.23</v>
      </c>
      <c r="E72" s="13">
        <f t="shared" si="12"/>
        <v>-257314.12999999998</v>
      </c>
      <c r="F72" s="13">
        <f t="shared" si="13"/>
        <v>-257314.12999999998</v>
      </c>
      <c r="G72" s="13">
        <f t="shared" si="14"/>
        <v>283301.23</v>
      </c>
      <c r="J72" s="67">
        <f>F72</f>
        <v>-257314.12999999998</v>
      </c>
    </row>
    <row r="73" spans="1:10" ht="26.25" customHeight="1" outlineLevel="1">
      <c r="A73" s="29" t="s">
        <v>95</v>
      </c>
      <c r="B73" s="29"/>
      <c r="C73" s="15">
        <v>820941.68</v>
      </c>
      <c r="D73" s="15">
        <v>650414.75</v>
      </c>
      <c r="E73" s="13">
        <f t="shared" si="12"/>
        <v>170526.93000000005</v>
      </c>
      <c r="F73" s="13">
        <f t="shared" si="13"/>
        <v>170526.93000000005</v>
      </c>
      <c r="G73" s="13"/>
      <c r="J73" s="67"/>
    </row>
    <row r="74" spans="1:11" ht="26.25" customHeight="1" outlineLevel="1">
      <c r="A74" s="29" t="s">
        <v>3</v>
      </c>
      <c r="B74" s="29"/>
      <c r="C74" s="15">
        <f>-2235.03-180025.77</f>
        <v>-182260.8</v>
      </c>
      <c r="D74" s="15">
        <f>1616676.65+16.85</f>
        <v>1616693.5</v>
      </c>
      <c r="E74" s="13">
        <f t="shared" si="12"/>
        <v>-1798954.3</v>
      </c>
      <c r="F74" s="13">
        <f t="shared" si="13"/>
        <v>-1798954.3</v>
      </c>
      <c r="G74" s="13">
        <f t="shared" si="14"/>
        <v>1616693.5</v>
      </c>
      <c r="K74" s="67">
        <f>F74</f>
        <v>-1798954.3</v>
      </c>
    </row>
    <row r="75" spans="1:7" ht="26.25" customHeight="1" outlineLevel="1">
      <c r="A75" s="29" t="s">
        <v>6</v>
      </c>
      <c r="B75" s="29"/>
      <c r="C75" s="15">
        <v>5307694.4</v>
      </c>
      <c r="D75" s="15">
        <f>4266046.21+2715.33</f>
        <v>4268761.54</v>
      </c>
      <c r="E75" s="13">
        <f t="shared" si="12"/>
        <v>1038932.8600000003</v>
      </c>
      <c r="F75" s="13">
        <f t="shared" si="13"/>
        <v>1038932.8600000003</v>
      </c>
      <c r="G75" s="13">
        <f t="shared" si="14"/>
        <v>4268761.54</v>
      </c>
    </row>
    <row r="76" spans="1:7" ht="26.25" customHeight="1" outlineLevel="1">
      <c r="A76" s="70" t="s">
        <v>71</v>
      </c>
      <c r="B76" s="73"/>
      <c r="C76" s="71">
        <f>15002.9-1490.17</f>
        <v>13512.73</v>
      </c>
      <c r="D76" s="71">
        <f>13036.02+11.88+406.35</f>
        <v>13454.25</v>
      </c>
      <c r="E76" s="88">
        <f t="shared" si="12"/>
        <v>58.47999999999956</v>
      </c>
      <c r="F76" s="88">
        <f t="shared" si="13"/>
        <v>58.47999999999956</v>
      </c>
      <c r="G76" s="13"/>
    </row>
    <row r="77" spans="1:7" ht="33" customHeight="1" outlineLevel="1">
      <c r="A77" s="70" t="s">
        <v>91</v>
      </c>
      <c r="B77" s="73"/>
      <c r="C77" s="71">
        <v>10180.94</v>
      </c>
      <c r="D77" s="71">
        <f>9616.97+406.35</f>
        <v>10023.32</v>
      </c>
      <c r="E77" s="88">
        <f t="shared" si="12"/>
        <v>157.6200000000008</v>
      </c>
      <c r="F77" s="88">
        <f t="shared" si="13"/>
        <v>157.6200000000008</v>
      </c>
      <c r="G77" s="13"/>
    </row>
    <row r="78" spans="1:7" ht="26.25" customHeight="1" outlineLevel="1">
      <c r="A78" s="70" t="s">
        <v>73</v>
      </c>
      <c r="B78" s="73"/>
      <c r="C78" s="71">
        <f>512973.78-11921.98-17138.11</f>
        <v>483913.69000000006</v>
      </c>
      <c r="D78" s="71">
        <f>493851.66+7.52+15.33+406.35</f>
        <v>494280.86</v>
      </c>
      <c r="E78" s="88">
        <f t="shared" si="12"/>
        <v>-10367.169999999925</v>
      </c>
      <c r="F78" s="88">
        <f t="shared" si="13"/>
        <v>-10367.169999999925</v>
      </c>
      <c r="G78" s="13"/>
    </row>
    <row r="79" spans="1:12" ht="26.25" customHeight="1" outlineLevel="1">
      <c r="A79" s="29" t="s">
        <v>7</v>
      </c>
      <c r="B79" s="29"/>
      <c r="C79" s="15">
        <v>566779.34</v>
      </c>
      <c r="D79" s="15">
        <v>507500.92</v>
      </c>
      <c r="E79" s="13">
        <f t="shared" si="12"/>
        <v>59278.419999999984</v>
      </c>
      <c r="F79" s="13">
        <f t="shared" si="13"/>
        <v>59278.419999999984</v>
      </c>
      <c r="G79" s="13">
        <f t="shared" si="14"/>
        <v>507500.92</v>
      </c>
      <c r="L79" s="67">
        <f>F79</f>
        <v>59278.419999999984</v>
      </c>
    </row>
    <row r="80" spans="1:12" ht="26.25" customHeight="1" outlineLevel="1">
      <c r="A80" s="29" t="s">
        <v>93</v>
      </c>
      <c r="B80" s="29"/>
      <c r="C80" s="15">
        <v>280222.65</v>
      </c>
      <c r="D80" s="15">
        <v>223380.32</v>
      </c>
      <c r="E80" s="13">
        <f t="shared" si="12"/>
        <v>56842.330000000016</v>
      </c>
      <c r="F80" s="13">
        <f t="shared" si="13"/>
        <v>56842.330000000016</v>
      </c>
      <c r="G80" s="13"/>
      <c r="L80" s="67"/>
    </row>
    <row r="81" spans="1:12" ht="26.25" customHeight="1" outlineLevel="1">
      <c r="A81" s="29" t="s">
        <v>94</v>
      </c>
      <c r="B81" s="29"/>
      <c r="C81" s="15">
        <v>36258.06</v>
      </c>
      <c r="D81" s="15">
        <v>14129.61</v>
      </c>
      <c r="E81" s="13">
        <f t="shared" si="12"/>
        <v>22128.449999999997</v>
      </c>
      <c r="F81" s="13">
        <f t="shared" si="13"/>
        <v>22128.449999999997</v>
      </c>
      <c r="G81" s="13"/>
      <c r="L81" s="67"/>
    </row>
    <row r="82" spans="1:13" ht="26.25" customHeight="1" outlineLevel="1">
      <c r="A82" s="29" t="s">
        <v>11</v>
      </c>
      <c r="B82" s="29"/>
      <c r="C82" s="15">
        <v>1934250.36</v>
      </c>
      <c r="D82" s="15">
        <f>1674431+5.94</f>
        <v>1674436.94</v>
      </c>
      <c r="E82" s="13">
        <f t="shared" si="12"/>
        <v>259813.42000000016</v>
      </c>
      <c r="F82" s="13">
        <f t="shared" si="13"/>
        <v>259813.42000000016</v>
      </c>
      <c r="G82" s="13">
        <f t="shared" si="14"/>
        <v>1674436.94</v>
      </c>
      <c r="M82" s="67">
        <f>F82</f>
        <v>259813.42000000016</v>
      </c>
    </row>
    <row r="83" spans="1:13" ht="35.25" customHeight="1" outlineLevel="1">
      <c r="A83" s="29" t="s">
        <v>63</v>
      </c>
      <c r="B83" s="29"/>
      <c r="C83" s="15">
        <v>320361.88</v>
      </c>
      <c r="D83" s="15">
        <f>246351.85</f>
        <v>246351.85</v>
      </c>
      <c r="E83" s="13">
        <f t="shared" si="12"/>
        <v>74010.03</v>
      </c>
      <c r="F83" s="13">
        <f t="shared" si="13"/>
        <v>74010.03</v>
      </c>
      <c r="G83" s="13"/>
      <c r="M83" s="67"/>
    </row>
    <row r="84" spans="1:13" ht="35.25" customHeight="1" outlineLevel="1">
      <c r="A84" s="28" t="s">
        <v>90</v>
      </c>
      <c r="B84" s="29"/>
      <c r="C84" s="15">
        <v>2750991.21</v>
      </c>
      <c r="D84" s="15">
        <v>2168180.28</v>
      </c>
      <c r="E84" s="13">
        <f t="shared" si="12"/>
        <v>582810.9300000002</v>
      </c>
      <c r="F84" s="13">
        <f t="shared" si="13"/>
        <v>582810.9300000002</v>
      </c>
      <c r="G84" s="13"/>
      <c r="M84" s="67"/>
    </row>
    <row r="85" spans="1:7" ht="28.5" customHeight="1" outlineLevel="1">
      <c r="A85" s="29" t="s">
        <v>84</v>
      </c>
      <c r="B85" s="29"/>
      <c r="C85" s="15">
        <v>54637.3</v>
      </c>
      <c r="D85" s="15">
        <v>43062.3</v>
      </c>
      <c r="E85" s="13">
        <f t="shared" si="12"/>
        <v>11575</v>
      </c>
      <c r="F85" s="13">
        <f t="shared" si="13"/>
        <v>11575</v>
      </c>
      <c r="G85" s="13"/>
    </row>
    <row r="86" spans="1:7" ht="34.5" customHeight="1" outlineLevel="1">
      <c r="A86" s="29" t="s">
        <v>52</v>
      </c>
      <c r="B86" s="29"/>
      <c r="C86" s="15">
        <v>280560</v>
      </c>
      <c r="D86" s="15">
        <v>268616.55</v>
      </c>
      <c r="E86" s="13">
        <f t="shared" si="12"/>
        <v>11943.450000000012</v>
      </c>
      <c r="F86" s="13">
        <f t="shared" si="13"/>
        <v>11943.450000000012</v>
      </c>
      <c r="G86" s="13"/>
    </row>
    <row r="87" spans="1:7" ht="45" customHeight="1" outlineLevel="1">
      <c r="A87" s="29" t="s">
        <v>10</v>
      </c>
      <c r="B87" s="29"/>
      <c r="C87" s="15">
        <v>366563.65</v>
      </c>
      <c r="D87" s="15">
        <v>351474.91</v>
      </c>
      <c r="E87" s="13">
        <f t="shared" si="12"/>
        <v>15088.740000000049</v>
      </c>
      <c r="F87" s="13">
        <f t="shared" si="13"/>
        <v>15088.740000000049</v>
      </c>
      <c r="G87" s="13"/>
    </row>
    <row r="88" spans="1:7" ht="45" customHeight="1" outlineLevel="1">
      <c r="A88" s="28" t="s">
        <v>86</v>
      </c>
      <c r="B88" s="29"/>
      <c r="C88" s="15">
        <v>277409.56</v>
      </c>
      <c r="D88" s="15">
        <v>244073.86</v>
      </c>
      <c r="E88" s="13">
        <f t="shared" si="12"/>
        <v>33335.70000000001</v>
      </c>
      <c r="F88" s="13">
        <f t="shared" si="13"/>
        <v>33335.70000000001</v>
      </c>
      <c r="G88" s="13"/>
    </row>
    <row r="89" spans="1:7" ht="45" customHeight="1" outlineLevel="1">
      <c r="A89" s="28" t="s">
        <v>87</v>
      </c>
      <c r="B89" s="29"/>
      <c r="C89" s="15">
        <v>191230.55</v>
      </c>
      <c r="D89" s="15">
        <v>150717.5</v>
      </c>
      <c r="E89" s="13">
        <f t="shared" si="12"/>
        <v>40513.04999999999</v>
      </c>
      <c r="F89" s="13">
        <f t="shared" si="13"/>
        <v>40513.04999999999</v>
      </c>
      <c r="G89" s="13"/>
    </row>
    <row r="90" spans="1:7" ht="45" customHeight="1" outlineLevel="1">
      <c r="A90" s="29" t="s">
        <v>96</v>
      </c>
      <c r="B90" s="29"/>
      <c r="C90" s="15">
        <v>207090.62</v>
      </c>
      <c r="D90" s="15">
        <v>110327.68</v>
      </c>
      <c r="E90" s="13">
        <f t="shared" si="12"/>
        <v>96762.94</v>
      </c>
      <c r="F90" s="13">
        <f t="shared" si="13"/>
        <v>96762.94</v>
      </c>
      <c r="G90" s="13"/>
    </row>
    <row r="91" spans="1:7" ht="26.25" customHeight="1" outlineLevel="1">
      <c r="A91" s="29" t="s">
        <v>55</v>
      </c>
      <c r="B91" s="29"/>
      <c r="C91" s="15">
        <v>432000</v>
      </c>
      <c r="D91" s="15">
        <v>413605.46</v>
      </c>
      <c r="E91" s="13">
        <f t="shared" si="12"/>
        <v>18394.53999999998</v>
      </c>
      <c r="F91" s="13">
        <f t="shared" si="13"/>
        <v>18394.53999999998</v>
      </c>
      <c r="G91" s="13"/>
    </row>
    <row r="92" spans="1:7" ht="26.25" customHeight="1" outlineLevel="1">
      <c r="A92" s="29" t="s">
        <v>54</v>
      </c>
      <c r="B92" s="29"/>
      <c r="C92" s="15">
        <v>1715378.4</v>
      </c>
      <c r="D92" s="15">
        <v>1635025.74</v>
      </c>
      <c r="E92" s="13">
        <f t="shared" si="12"/>
        <v>80352.65999999992</v>
      </c>
      <c r="F92" s="13">
        <f t="shared" si="13"/>
        <v>80352.65999999992</v>
      </c>
      <c r="G92" s="13"/>
    </row>
    <row r="93" spans="1:7" ht="26.25" customHeight="1" outlineLevel="1">
      <c r="A93" s="57" t="s">
        <v>56</v>
      </c>
      <c r="B93" s="29"/>
      <c r="C93" s="15">
        <v>23796</v>
      </c>
      <c r="D93" s="15">
        <v>101724.73</v>
      </c>
      <c r="E93" s="13">
        <f t="shared" si="12"/>
        <v>-77928.73</v>
      </c>
      <c r="F93" s="13">
        <f t="shared" si="13"/>
        <v>-77928.73</v>
      </c>
      <c r="G93" s="13"/>
    </row>
    <row r="94" spans="1:7" ht="26.25" customHeight="1" outlineLevel="1">
      <c r="A94" s="57" t="s">
        <v>5</v>
      </c>
      <c r="B94" s="29"/>
      <c r="C94" s="15">
        <v>925605.35</v>
      </c>
      <c r="D94" s="15">
        <v>272948.61</v>
      </c>
      <c r="E94" s="13">
        <f t="shared" si="12"/>
        <v>652656.74</v>
      </c>
      <c r="F94" s="13">
        <f t="shared" si="13"/>
        <v>652656.74</v>
      </c>
      <c r="G94" s="13"/>
    </row>
    <row r="95" spans="1:7" ht="42" customHeight="1" outlineLevel="1">
      <c r="A95" s="52" t="s">
        <v>64</v>
      </c>
      <c r="B95" s="68"/>
      <c r="C95" s="53">
        <f>C70+C72+C74+C75+C79+C82+C85+C86+C87+C91+C92+C93+C94+C100+C102+C77+C71+C83+C80+C81+C73+C90+C89+C88+C84</f>
        <v>20345611.320000004</v>
      </c>
      <c r="D95" s="53">
        <f>D70+D72+D74+D75+D79+D82+D85+D86+D87+D91+D92+D93+D94+D100+D102+D77+D71+D83+D80+D81+D73+D90+D89+D88+D84</f>
        <v>18544161.650000002</v>
      </c>
      <c r="E95" s="53">
        <f>E70+E72+E74+E75+E79+E82+E85+E86+E87+E91+E92+E93+E94+E100+E102+E77+E71+E83+E80+E81+E73+E90+E89+E88+E84</f>
        <v>1801449.6700000004</v>
      </c>
      <c r="F95" s="53">
        <f>F70+F72+F74+F75+F79+F82+F85+F86+F87+F91+F92+F93+F94+F100+F102+F77+F71+F83+F80+F81+F73+F90+F89+F88+F84</f>
        <v>1801449.6700000004</v>
      </c>
      <c r="G95" s="31">
        <f>SUM(G70:G82)</f>
        <v>8774262.34</v>
      </c>
    </row>
    <row r="96" spans="1:7" ht="26.25" customHeight="1" outlineLevel="1">
      <c r="A96" s="52" t="s">
        <v>29</v>
      </c>
      <c r="B96" s="53"/>
      <c r="C96" s="53"/>
      <c r="D96" s="53"/>
      <c r="E96" s="53"/>
      <c r="F96" s="53"/>
      <c r="G96" s="43"/>
    </row>
    <row r="97" spans="1:7" ht="26.25" customHeight="1" outlineLevel="1">
      <c r="A97" s="52" t="s">
        <v>30</v>
      </c>
      <c r="B97" s="53"/>
      <c r="C97" s="53">
        <f>C75</f>
        <v>5307694.4</v>
      </c>
      <c r="D97" s="53">
        <f>D75</f>
        <v>4268761.54</v>
      </c>
      <c r="E97" s="53">
        <f>E75</f>
        <v>1038932.8600000003</v>
      </c>
      <c r="F97" s="53">
        <f>F75</f>
        <v>1038932.8600000003</v>
      </c>
      <c r="G97" s="43"/>
    </row>
    <row r="98" spans="1:7" ht="26.25" customHeight="1" outlineLevel="1">
      <c r="A98" s="52" t="s">
        <v>31</v>
      </c>
      <c r="B98" s="53"/>
      <c r="C98" s="53">
        <f>C70+C72+C74+C79+C82+C71+C83+C80+C81+C73</f>
        <v>7305046.92</v>
      </c>
      <c r="D98" s="53">
        <f>D70+D72+D74+D79+D82+D71+D83+D80+D81+D73</f>
        <v>7997884.06</v>
      </c>
      <c r="E98" s="53">
        <f>E70+E72+E74+E79+E82+E71+E83+E80+E81+E73</f>
        <v>-692837.14</v>
      </c>
      <c r="F98" s="53">
        <f>F70+F72+F74+F79+F82+F71+F83+F80+F81+F73</f>
        <v>-692837.14</v>
      </c>
      <c r="G98" s="43"/>
    </row>
    <row r="99" spans="1:7" ht="26.25" customHeight="1" outlineLevel="1">
      <c r="A99" s="52" t="s">
        <v>51</v>
      </c>
      <c r="B99" s="53"/>
      <c r="C99" s="53">
        <f>C85+C86+C87+C91+C92+C93+C94+C90+C89+C88+C84</f>
        <v>7225262.64</v>
      </c>
      <c r="D99" s="53">
        <f>D85+D86+D87+D91+D92+D93+D94+D90+D89+D88+D84</f>
        <v>5759757.619999999</v>
      </c>
      <c r="E99" s="53">
        <f>E85+E86+E87+E91+E92+E93+E94+E90+E89+E88+E84</f>
        <v>1465505.02</v>
      </c>
      <c r="F99" s="53">
        <f>F85+F86+F87+F91+F92+F93+F94+F90+F89+F88+F84</f>
        <v>1465505.02</v>
      </c>
      <c r="G99" s="43"/>
    </row>
    <row r="100" spans="1:15" ht="26.25" customHeight="1" outlineLevel="1">
      <c r="A100" s="72" t="s">
        <v>74</v>
      </c>
      <c r="B100" s="72"/>
      <c r="C100" s="72">
        <f aca="true" t="shared" si="15" ref="C100:O100">C76</f>
        <v>13512.73</v>
      </c>
      <c r="D100" s="72">
        <f t="shared" si="15"/>
        <v>13454.25</v>
      </c>
      <c r="E100" s="72">
        <f t="shared" si="15"/>
        <v>58.47999999999956</v>
      </c>
      <c r="F100" s="72">
        <f t="shared" si="15"/>
        <v>58.47999999999956</v>
      </c>
      <c r="G100" s="72">
        <f t="shared" si="15"/>
        <v>0</v>
      </c>
      <c r="H100" s="72">
        <f t="shared" si="15"/>
        <v>0</v>
      </c>
      <c r="I100" s="72">
        <f t="shared" si="15"/>
        <v>0</v>
      </c>
      <c r="J100" s="72">
        <f t="shared" si="15"/>
        <v>0</v>
      </c>
      <c r="K100" s="72">
        <f t="shared" si="15"/>
        <v>0</v>
      </c>
      <c r="L100" s="72">
        <f t="shared" si="15"/>
        <v>0</v>
      </c>
      <c r="M100" s="72">
        <f t="shared" si="15"/>
        <v>0</v>
      </c>
      <c r="N100" s="72">
        <f t="shared" si="15"/>
        <v>0</v>
      </c>
      <c r="O100" s="72">
        <f t="shared" si="15"/>
        <v>0</v>
      </c>
    </row>
    <row r="101" spans="1:15" ht="26.25" customHeight="1" outlineLevel="1">
      <c r="A101" s="72" t="s">
        <v>92</v>
      </c>
      <c r="B101" s="72"/>
      <c r="C101" s="72">
        <f aca="true" t="shared" si="16" ref="C101:F102">C77</f>
        <v>10180.94</v>
      </c>
      <c r="D101" s="72">
        <f t="shared" si="16"/>
        <v>10023.32</v>
      </c>
      <c r="E101" s="72">
        <f t="shared" si="16"/>
        <v>157.6200000000008</v>
      </c>
      <c r="F101" s="72">
        <f t="shared" si="16"/>
        <v>157.6200000000008</v>
      </c>
      <c r="G101" s="86"/>
      <c r="H101" s="87"/>
      <c r="I101" s="87"/>
      <c r="J101" s="87"/>
      <c r="K101" s="87"/>
      <c r="L101" s="87"/>
      <c r="M101" s="87"/>
      <c r="N101" s="87"/>
      <c r="O101" s="87"/>
    </row>
    <row r="102" spans="1:7" ht="26.25" customHeight="1" outlineLevel="1">
      <c r="A102" s="72" t="s">
        <v>76</v>
      </c>
      <c r="B102" s="72"/>
      <c r="C102" s="72">
        <f t="shared" si="16"/>
        <v>483913.69000000006</v>
      </c>
      <c r="D102" s="72">
        <f t="shared" si="16"/>
        <v>494280.86</v>
      </c>
      <c r="E102" s="72">
        <f t="shared" si="16"/>
        <v>-10367.169999999925</v>
      </c>
      <c r="F102" s="72">
        <f t="shared" si="16"/>
        <v>-10367.169999999925</v>
      </c>
      <c r="G102" s="43"/>
    </row>
    <row r="103" spans="1:7" ht="50.25" customHeight="1">
      <c r="A103" s="37" t="s">
        <v>21</v>
      </c>
      <c r="B103" s="37"/>
      <c r="C103" s="37" t="s">
        <v>68</v>
      </c>
      <c r="D103" s="38" t="s">
        <v>69</v>
      </c>
      <c r="E103" s="39" t="s">
        <v>24</v>
      </c>
      <c r="F103" s="39" t="s">
        <v>70</v>
      </c>
      <c r="G103" s="19" t="s">
        <v>19</v>
      </c>
    </row>
    <row r="104" spans="1:7" ht="26.25" customHeight="1" outlineLevel="1">
      <c r="A104" s="16" t="s">
        <v>36</v>
      </c>
      <c r="B104" s="20"/>
      <c r="C104" s="12"/>
      <c r="D104" s="12"/>
      <c r="E104" s="10"/>
      <c r="F104" s="10"/>
      <c r="G104" s="10" t="s">
        <v>19</v>
      </c>
    </row>
    <row r="105" spans="1:7" ht="26.25" customHeight="1" outlineLevel="1">
      <c r="A105" s="29" t="s">
        <v>0</v>
      </c>
      <c r="B105" s="29"/>
      <c r="C105" s="15">
        <v>228299.93</v>
      </c>
      <c r="D105" s="15">
        <v>228267.64</v>
      </c>
      <c r="E105" s="11">
        <f aca="true" t="shared" si="17" ref="E105:E118">C105-D105</f>
        <v>32.289999999979045</v>
      </c>
      <c r="F105" s="13">
        <f aca="true" t="shared" si="18" ref="F105:F120">E105+B105</f>
        <v>32.289999999979045</v>
      </c>
      <c r="G105" s="12">
        <f>D105</f>
        <v>228267.64</v>
      </c>
    </row>
    <row r="106" spans="1:7" ht="26.25" customHeight="1" outlineLevel="1">
      <c r="A106" s="29" t="s">
        <v>1</v>
      </c>
      <c r="B106" s="29"/>
      <c r="C106" s="15"/>
      <c r="D106" s="15">
        <v>1877.68</v>
      </c>
      <c r="E106" s="11">
        <f t="shared" si="17"/>
        <v>-1877.68</v>
      </c>
      <c r="F106" s="13">
        <f t="shared" si="18"/>
        <v>-1877.68</v>
      </c>
      <c r="G106" s="12" t="s">
        <v>19</v>
      </c>
    </row>
    <row r="107" spans="1:9" ht="26.25" customHeight="1" outlineLevel="1">
      <c r="A107" s="30" t="s">
        <v>25</v>
      </c>
      <c r="B107" s="30"/>
      <c r="C107" s="30">
        <f>C105+C106</f>
        <v>228299.93</v>
      </c>
      <c r="D107" s="30">
        <f>D105+D106</f>
        <v>230145.32</v>
      </c>
      <c r="E107" s="30">
        <f>E105+E106</f>
        <v>-1845.390000000021</v>
      </c>
      <c r="F107" s="30">
        <f>F105+F106</f>
        <v>-1845.390000000021</v>
      </c>
      <c r="G107" s="12"/>
      <c r="I107" s="67">
        <f>F107</f>
        <v>-1845.390000000021</v>
      </c>
    </row>
    <row r="108" spans="1:7" ht="26.25" customHeight="1" outlineLevel="1">
      <c r="A108" s="29" t="s">
        <v>2</v>
      </c>
      <c r="B108" s="29"/>
      <c r="C108" s="15">
        <v>104425.02</v>
      </c>
      <c r="D108" s="15">
        <v>191152.38</v>
      </c>
      <c r="E108" s="11">
        <f t="shared" si="17"/>
        <v>-86727.36</v>
      </c>
      <c r="F108" s="13">
        <f t="shared" si="18"/>
        <v>-86727.36</v>
      </c>
      <c r="G108" s="12">
        <f>D108</f>
        <v>191152.38</v>
      </c>
    </row>
    <row r="109" spans="1:7" ht="26.25" customHeight="1" outlineLevel="1">
      <c r="A109" s="29" t="s">
        <v>95</v>
      </c>
      <c r="B109" s="29"/>
      <c r="C109" s="29">
        <v>605036.03</v>
      </c>
      <c r="D109" s="15">
        <v>605696.46</v>
      </c>
      <c r="E109" s="11">
        <f t="shared" si="17"/>
        <v>-660.4299999999348</v>
      </c>
      <c r="F109" s="13">
        <f t="shared" si="18"/>
        <v>-660.4299999999348</v>
      </c>
      <c r="G109" s="12"/>
    </row>
    <row r="110" spans="1:7" ht="26.25" customHeight="1" outlineLevel="1">
      <c r="A110" s="42" t="s">
        <v>78</v>
      </c>
      <c r="B110" s="29"/>
      <c r="C110" s="15">
        <v>104041.72</v>
      </c>
      <c r="D110" s="15">
        <v>104586.56</v>
      </c>
      <c r="E110" s="11">
        <f t="shared" si="17"/>
        <v>-544.8399999999965</v>
      </c>
      <c r="F110" s="13">
        <f t="shared" si="18"/>
        <v>-544.8399999999965</v>
      </c>
      <c r="G110" s="12"/>
    </row>
    <row r="111" spans="1:7" ht="43.5" customHeight="1" outlineLevel="1">
      <c r="A111" s="42" t="s">
        <v>79</v>
      </c>
      <c r="B111" s="29"/>
      <c r="C111" s="15">
        <v>16862.02</v>
      </c>
      <c r="D111" s="15">
        <v>23203.7</v>
      </c>
      <c r="E111" s="11">
        <f t="shared" si="17"/>
        <v>-6341.68</v>
      </c>
      <c r="F111" s="13">
        <f t="shared" si="18"/>
        <v>-6341.68</v>
      </c>
      <c r="G111" s="12" t="s">
        <v>19</v>
      </c>
    </row>
    <row r="112" spans="1:10" ht="30.75" customHeight="1" outlineLevel="1">
      <c r="A112" s="30" t="s">
        <v>26</v>
      </c>
      <c r="B112" s="30"/>
      <c r="C112" s="30">
        <f>SUM(C108:C111)</f>
        <v>830364.79</v>
      </c>
      <c r="D112" s="30">
        <f>SUM(D108:D111)</f>
        <v>924639.0999999999</v>
      </c>
      <c r="E112" s="30">
        <f>SUM(E108:E111)</f>
        <v>-94274.30999999994</v>
      </c>
      <c r="F112" s="30">
        <f>SUM(F108:F111)</f>
        <v>-94274.30999999994</v>
      </c>
      <c r="G112" s="12" t="s">
        <v>19</v>
      </c>
      <c r="J112" s="67">
        <f>F112</f>
        <v>-94274.30999999994</v>
      </c>
    </row>
    <row r="113" spans="1:7" ht="26.25" customHeight="1" outlineLevel="1">
      <c r="A113" s="29" t="s">
        <v>6</v>
      </c>
      <c r="B113" s="29"/>
      <c r="C113" s="15">
        <v>2574996.36</v>
      </c>
      <c r="D113" s="15">
        <f>2585896.52+2479.14</f>
        <v>2588375.66</v>
      </c>
      <c r="E113" s="11">
        <f t="shared" si="17"/>
        <v>-13379.30000000028</v>
      </c>
      <c r="F113" s="13">
        <f t="shared" si="18"/>
        <v>-13379.30000000028</v>
      </c>
      <c r="G113" s="12">
        <f>D113</f>
        <v>2588375.66</v>
      </c>
    </row>
    <row r="114" spans="1:7" ht="26.25" customHeight="1" outlineLevel="1">
      <c r="A114" s="70" t="s">
        <v>71</v>
      </c>
      <c r="B114" s="70"/>
      <c r="C114" s="71">
        <f>-4365.55</f>
        <v>-4365.55</v>
      </c>
      <c r="D114" s="71">
        <v>6916.24</v>
      </c>
      <c r="E114" s="11">
        <f t="shared" si="17"/>
        <v>-11281.79</v>
      </c>
      <c r="F114" s="13">
        <f t="shared" si="18"/>
        <v>-11281.79</v>
      </c>
      <c r="G114" s="12"/>
    </row>
    <row r="115" spans="1:7" ht="26.25" customHeight="1" outlineLevel="1">
      <c r="A115" s="70" t="s">
        <v>72</v>
      </c>
      <c r="B115" s="70"/>
      <c r="C115" s="71">
        <v>57550.26</v>
      </c>
      <c r="D115" s="71">
        <v>55555.1</v>
      </c>
      <c r="E115" s="11">
        <f t="shared" si="17"/>
        <v>1995.1600000000035</v>
      </c>
      <c r="F115" s="13">
        <f t="shared" si="18"/>
        <v>1995.1600000000035</v>
      </c>
      <c r="G115" s="12"/>
    </row>
    <row r="116" spans="1:7" ht="26.25" customHeight="1" outlineLevel="1">
      <c r="A116" s="70" t="s">
        <v>73</v>
      </c>
      <c r="B116" s="70"/>
      <c r="C116" s="71">
        <v>292604.78</v>
      </c>
      <c r="D116" s="71">
        <v>265960.59</v>
      </c>
      <c r="E116" s="11">
        <f t="shared" si="17"/>
        <v>26644.190000000002</v>
      </c>
      <c r="F116" s="13">
        <f t="shared" si="18"/>
        <v>26644.190000000002</v>
      </c>
      <c r="G116" s="12"/>
    </row>
    <row r="117" spans="1:7" ht="26.25" customHeight="1" outlineLevel="1">
      <c r="A117" s="29" t="s">
        <v>7</v>
      </c>
      <c r="B117" s="29"/>
      <c r="C117" s="15">
        <v>246680.64</v>
      </c>
      <c r="D117" s="15">
        <v>245884.2</v>
      </c>
      <c r="E117" s="11">
        <f t="shared" si="17"/>
        <v>796.4400000000023</v>
      </c>
      <c r="F117" s="13">
        <f t="shared" si="18"/>
        <v>796.4400000000023</v>
      </c>
      <c r="G117" s="12">
        <f>D117</f>
        <v>245884.2</v>
      </c>
    </row>
    <row r="118" spans="1:7" ht="44.25" customHeight="1" outlineLevel="1">
      <c r="A118" s="29" t="s">
        <v>9</v>
      </c>
      <c r="B118" s="29"/>
      <c r="C118" s="15">
        <v>32456.99</v>
      </c>
      <c r="D118" s="15">
        <v>30066.99</v>
      </c>
      <c r="E118" s="11">
        <f t="shared" si="17"/>
        <v>2390</v>
      </c>
      <c r="F118" s="13">
        <f t="shared" si="18"/>
        <v>2390</v>
      </c>
      <c r="G118" s="12" t="s">
        <v>19</v>
      </c>
    </row>
    <row r="119" spans="1:12" ht="44.25" customHeight="1" outlineLevel="1">
      <c r="A119" s="30" t="s">
        <v>28</v>
      </c>
      <c r="B119" s="30"/>
      <c r="C119" s="30">
        <f>SUM(C117:C118)</f>
        <v>279137.63</v>
      </c>
      <c r="D119" s="30">
        <f>SUM(D117:D118)</f>
        <v>275951.19</v>
      </c>
      <c r="E119" s="30">
        <f>SUM(E117:E118)</f>
        <v>3186.4400000000023</v>
      </c>
      <c r="F119" s="30">
        <f>SUM(F117:F118)</f>
        <v>3186.4400000000023</v>
      </c>
      <c r="G119" s="12"/>
      <c r="L119" s="67">
        <f>F119</f>
        <v>3186.4400000000023</v>
      </c>
    </row>
    <row r="120" spans="1:7" ht="29.25" customHeight="1" outlineLevel="1">
      <c r="A120" s="29" t="s">
        <v>5</v>
      </c>
      <c r="B120" s="30"/>
      <c r="C120" s="15">
        <v>16862.09</v>
      </c>
      <c r="D120" s="15">
        <v>20245.09</v>
      </c>
      <c r="E120" s="11">
        <f>C120-D120</f>
        <v>-3383</v>
      </c>
      <c r="F120" s="13">
        <f t="shared" si="18"/>
        <v>-3383</v>
      </c>
      <c r="G120" s="12" t="e">
        <f>#REF!</f>
        <v>#REF!</v>
      </c>
    </row>
    <row r="121" spans="1:7" ht="44.25" customHeight="1" outlineLevel="1">
      <c r="A121" s="52" t="s">
        <v>64</v>
      </c>
      <c r="B121" s="53"/>
      <c r="C121" s="53">
        <f>C107+C112+C113+C119+C120+C126+C127+C128</f>
        <v>4275450.29</v>
      </c>
      <c r="D121" s="53">
        <f>D107+D112+D113+D119+D120+D126+D127+D128</f>
        <v>4367788.29</v>
      </c>
      <c r="E121" s="53">
        <f>E107+E112+E113+E119+E120+E126+E127+E128</f>
        <v>-92338.00000000023</v>
      </c>
      <c r="F121" s="53">
        <f>F107+F112+F113+F119+F120+F126+F127+F128</f>
        <v>-92338.00000000023</v>
      </c>
      <c r="G121" s="12"/>
    </row>
    <row r="122" spans="1:7" ht="25.5" customHeight="1" outlineLevel="1">
      <c r="A122" s="52" t="s">
        <v>29</v>
      </c>
      <c r="B122" s="53"/>
      <c r="C122" s="53"/>
      <c r="D122" s="53"/>
      <c r="E122" s="53"/>
      <c r="F122" s="53"/>
      <c r="G122" s="12"/>
    </row>
    <row r="123" spans="1:7" ht="22.5" customHeight="1" outlineLevel="1">
      <c r="A123" s="52" t="s">
        <v>30</v>
      </c>
      <c r="B123" s="53"/>
      <c r="C123" s="53">
        <f aca="true" t="shared" si="19" ref="B123:G123">C113</f>
        <v>2574996.36</v>
      </c>
      <c r="D123" s="53">
        <f t="shared" si="19"/>
        <v>2588375.66</v>
      </c>
      <c r="E123" s="53">
        <f t="shared" si="19"/>
        <v>-13379.30000000028</v>
      </c>
      <c r="F123" s="53">
        <f t="shared" si="19"/>
        <v>-13379.30000000028</v>
      </c>
      <c r="G123" s="53">
        <f t="shared" si="19"/>
        <v>2588375.66</v>
      </c>
    </row>
    <row r="124" spans="1:7" ht="28.5" customHeight="1" outlineLevel="1">
      <c r="A124" s="52" t="s">
        <v>31</v>
      </c>
      <c r="B124" s="53"/>
      <c r="C124" s="53">
        <f>C107+C112+C119</f>
        <v>1337802.35</v>
      </c>
      <c r="D124" s="53">
        <f>D107+D112+D119</f>
        <v>1430735.6099999999</v>
      </c>
      <c r="E124" s="53">
        <f>E107+E112+E119</f>
        <v>-92933.25999999995</v>
      </c>
      <c r="F124" s="53">
        <f>F107+F112+F119</f>
        <v>-92933.25999999995</v>
      </c>
      <c r="G124" s="17">
        <f>SUM(G105:G118)</f>
        <v>3253679.8800000004</v>
      </c>
    </row>
    <row r="125" spans="1:7" ht="28.5" customHeight="1" outlineLevel="1">
      <c r="A125" s="51" t="s">
        <v>60</v>
      </c>
      <c r="B125" s="53"/>
      <c r="C125" s="53">
        <f>C120</f>
        <v>16862.09</v>
      </c>
      <c r="D125" s="53">
        <f>D120</f>
        <v>20245.09</v>
      </c>
      <c r="E125" s="53">
        <f>E120</f>
        <v>-3383</v>
      </c>
      <c r="F125" s="53">
        <f>F120</f>
        <v>-3383</v>
      </c>
      <c r="G125" s="17"/>
    </row>
    <row r="126" spans="1:7" ht="28.5" customHeight="1" outlineLevel="1">
      <c r="A126" s="72" t="s">
        <v>74</v>
      </c>
      <c r="B126" s="52"/>
      <c r="C126" s="52">
        <f aca="true" t="shared" si="20" ref="B126:F128">C114</f>
        <v>-4365.55</v>
      </c>
      <c r="D126" s="52">
        <f t="shared" si="20"/>
        <v>6916.24</v>
      </c>
      <c r="E126" s="52">
        <f t="shared" si="20"/>
        <v>-11281.79</v>
      </c>
      <c r="F126" s="52">
        <f t="shared" si="20"/>
        <v>-11281.79</v>
      </c>
      <c r="G126" s="17"/>
    </row>
    <row r="127" spans="1:7" ht="36" customHeight="1" outlineLevel="1">
      <c r="A127" s="72" t="s">
        <v>75</v>
      </c>
      <c r="B127" s="52"/>
      <c r="C127" s="52">
        <f t="shared" si="20"/>
        <v>57550.26</v>
      </c>
      <c r="D127" s="52">
        <f t="shared" si="20"/>
        <v>55555.1</v>
      </c>
      <c r="E127" s="52">
        <f t="shared" si="20"/>
        <v>1995.1600000000035</v>
      </c>
      <c r="F127" s="52">
        <f t="shared" si="20"/>
        <v>1995.1600000000035</v>
      </c>
      <c r="G127" s="17"/>
    </row>
    <row r="128" spans="1:7" ht="28.5" customHeight="1" outlineLevel="1">
      <c r="A128" s="72" t="s">
        <v>76</v>
      </c>
      <c r="B128" s="52"/>
      <c r="C128" s="52">
        <f t="shared" si="20"/>
        <v>292604.78</v>
      </c>
      <c r="D128" s="52">
        <f t="shared" si="20"/>
        <v>265960.59</v>
      </c>
      <c r="E128" s="52">
        <f t="shared" si="20"/>
        <v>26644.190000000002</v>
      </c>
      <c r="F128" s="52">
        <f t="shared" si="20"/>
        <v>26644.190000000002</v>
      </c>
      <c r="G128" s="17"/>
    </row>
    <row r="129" spans="1:7" ht="49.5" customHeight="1">
      <c r="A129" s="37" t="s">
        <v>21</v>
      </c>
      <c r="B129" s="37"/>
      <c r="C129" s="37" t="s">
        <v>68</v>
      </c>
      <c r="D129" s="38" t="s">
        <v>69</v>
      </c>
      <c r="E129" s="39" t="s">
        <v>24</v>
      </c>
      <c r="F129" s="39" t="s">
        <v>70</v>
      </c>
      <c r="G129" s="19" t="s">
        <v>19</v>
      </c>
    </row>
    <row r="130" spans="1:7" ht="26.25" customHeight="1" outlineLevel="1">
      <c r="A130" s="16" t="s">
        <v>37</v>
      </c>
      <c r="B130" s="20"/>
      <c r="C130" s="12"/>
      <c r="D130" s="12"/>
      <c r="E130" s="10"/>
      <c r="F130" s="10"/>
      <c r="G130" s="10"/>
    </row>
    <row r="131" spans="1:9" ht="26.25" customHeight="1" outlineLevel="1">
      <c r="A131" s="28" t="s">
        <v>0</v>
      </c>
      <c r="B131" s="28"/>
      <c r="C131" s="15">
        <v>104277.45</v>
      </c>
      <c r="D131" s="15">
        <v>107600.76</v>
      </c>
      <c r="E131" s="11">
        <f aca="true" t="shared" si="21" ref="E131:E145">C131-D131</f>
        <v>-3323.3099999999977</v>
      </c>
      <c r="F131" s="11">
        <f>E131+B131</f>
        <v>-3323.3099999999977</v>
      </c>
      <c r="G131" s="12">
        <f>D131</f>
        <v>107600.76</v>
      </c>
      <c r="I131" s="67">
        <f>F131</f>
        <v>-3323.3099999999977</v>
      </c>
    </row>
    <row r="132" spans="1:10" ht="26.25" customHeight="1" outlineLevel="1">
      <c r="A132" s="28" t="s">
        <v>2</v>
      </c>
      <c r="B132" s="28"/>
      <c r="C132" s="15">
        <v>48535.38</v>
      </c>
      <c r="D132" s="15">
        <v>118262.89</v>
      </c>
      <c r="E132" s="11">
        <f t="shared" si="21"/>
        <v>-69727.51000000001</v>
      </c>
      <c r="F132" s="11">
        <f aca="true" t="shared" si="22" ref="F132:F145">E132+B132</f>
        <v>-69727.51000000001</v>
      </c>
      <c r="G132" s="12">
        <f aca="true" t="shared" si="23" ref="G132:G141">D132</f>
        <v>118262.89</v>
      </c>
      <c r="J132" s="67">
        <f>F132</f>
        <v>-69727.51000000001</v>
      </c>
    </row>
    <row r="133" spans="1:10" ht="26.25" customHeight="1" outlineLevel="1">
      <c r="A133" s="28" t="s">
        <v>95</v>
      </c>
      <c r="B133" s="28"/>
      <c r="C133" s="15">
        <v>259466.55</v>
      </c>
      <c r="D133" s="15">
        <v>258306.01</v>
      </c>
      <c r="E133" s="11">
        <f t="shared" si="21"/>
        <v>1160.539999999979</v>
      </c>
      <c r="F133" s="11">
        <f t="shared" si="22"/>
        <v>1160.539999999979</v>
      </c>
      <c r="G133" s="12"/>
      <c r="J133" s="67"/>
    </row>
    <row r="134" spans="1:11" ht="26.25" customHeight="1" outlineLevel="1">
      <c r="A134" s="28" t="s">
        <v>3</v>
      </c>
      <c r="B134" s="28"/>
      <c r="C134" s="15">
        <v>912375.03</v>
      </c>
      <c r="D134" s="15">
        <v>880815.45</v>
      </c>
      <c r="E134" s="11">
        <f t="shared" si="21"/>
        <v>31559.580000000075</v>
      </c>
      <c r="F134" s="11">
        <f t="shared" si="22"/>
        <v>31559.580000000075</v>
      </c>
      <c r="G134" s="12">
        <f t="shared" si="23"/>
        <v>880815.45</v>
      </c>
      <c r="K134" s="67">
        <f>F134</f>
        <v>31559.580000000075</v>
      </c>
    </row>
    <row r="135" spans="1:7" ht="26.25" customHeight="1" outlineLevel="1">
      <c r="A135" s="28" t="s">
        <v>6</v>
      </c>
      <c r="B135" s="28"/>
      <c r="C135" s="15">
        <v>964717.8</v>
      </c>
      <c r="D135" s="15">
        <v>910515.87</v>
      </c>
      <c r="E135" s="11">
        <f t="shared" si="21"/>
        <v>54201.93000000005</v>
      </c>
      <c r="F135" s="11">
        <f t="shared" si="22"/>
        <v>54201.93000000005</v>
      </c>
      <c r="G135" s="12">
        <f t="shared" si="23"/>
        <v>910515.87</v>
      </c>
    </row>
    <row r="136" spans="1:7" ht="26.25" customHeight="1" outlineLevel="1">
      <c r="A136" s="70" t="s">
        <v>71</v>
      </c>
      <c r="B136" s="70"/>
      <c r="C136" s="71">
        <v>4272.97</v>
      </c>
      <c r="D136" s="71">
        <v>6.53</v>
      </c>
      <c r="E136" s="89">
        <f t="shared" si="21"/>
        <v>4266.4400000000005</v>
      </c>
      <c r="F136" s="89">
        <f t="shared" si="22"/>
        <v>4266.4400000000005</v>
      </c>
      <c r="G136" s="12">
        <f t="shared" si="23"/>
        <v>6.53</v>
      </c>
    </row>
    <row r="137" spans="1:7" ht="26.25" customHeight="1" outlineLevel="1">
      <c r="A137" s="70" t="s">
        <v>72</v>
      </c>
      <c r="B137" s="70"/>
      <c r="C137" s="71">
        <v>27294.26</v>
      </c>
      <c r="D137" s="71">
        <v>25171.67</v>
      </c>
      <c r="E137" s="89">
        <f t="shared" si="21"/>
        <v>2122.59</v>
      </c>
      <c r="F137" s="89">
        <f t="shared" si="22"/>
        <v>2122.59</v>
      </c>
      <c r="G137" s="12"/>
    </row>
    <row r="138" spans="1:7" ht="26.25" customHeight="1" outlineLevel="1">
      <c r="A138" s="70" t="s">
        <v>73</v>
      </c>
      <c r="B138" s="70"/>
      <c r="C138" s="71">
        <v>127747.58</v>
      </c>
      <c r="D138" s="71">
        <v>116909.2</v>
      </c>
      <c r="E138" s="89">
        <f t="shared" si="21"/>
        <v>10838.380000000005</v>
      </c>
      <c r="F138" s="89">
        <f t="shared" si="22"/>
        <v>10838.380000000005</v>
      </c>
      <c r="G138" s="12"/>
    </row>
    <row r="139" spans="1:7" ht="26.25" customHeight="1" outlineLevel="1">
      <c r="A139" s="28" t="s">
        <v>7</v>
      </c>
      <c r="B139" s="28"/>
      <c r="C139" s="15">
        <v>113728.61</v>
      </c>
      <c r="D139" s="15">
        <v>118036.89</v>
      </c>
      <c r="E139" s="11">
        <f t="shared" si="21"/>
        <v>-4308.279999999999</v>
      </c>
      <c r="F139" s="11">
        <f t="shared" si="22"/>
        <v>-4308.279999999999</v>
      </c>
      <c r="G139" s="12">
        <f t="shared" si="23"/>
        <v>118036.89</v>
      </c>
    </row>
    <row r="140" spans="1:7" ht="26.25" customHeight="1" outlineLevel="1">
      <c r="A140" s="28" t="s">
        <v>97</v>
      </c>
      <c r="B140" s="28"/>
      <c r="C140" s="15">
        <v>44491.29</v>
      </c>
      <c r="D140" s="15">
        <v>45273.18</v>
      </c>
      <c r="E140" s="11">
        <f t="shared" si="21"/>
        <v>-781.8899999999994</v>
      </c>
      <c r="F140" s="11">
        <f t="shared" si="22"/>
        <v>-781.8899999999994</v>
      </c>
      <c r="G140" s="12">
        <f t="shared" si="23"/>
        <v>45273.18</v>
      </c>
    </row>
    <row r="141" spans="1:13" ht="30.75" customHeight="1" outlineLevel="1">
      <c r="A141" s="28" t="s">
        <v>12</v>
      </c>
      <c r="B141" s="28"/>
      <c r="C141" s="15"/>
      <c r="D141" s="15"/>
      <c r="E141" s="11">
        <f t="shared" si="21"/>
        <v>0</v>
      </c>
      <c r="F141" s="11">
        <f t="shared" si="22"/>
        <v>0</v>
      </c>
      <c r="G141" s="12">
        <f t="shared" si="23"/>
        <v>0</v>
      </c>
      <c r="M141" s="67">
        <f>F141</f>
        <v>0</v>
      </c>
    </row>
    <row r="142" spans="1:7" ht="30.75" customHeight="1" hidden="1" outlineLevel="1">
      <c r="A142" s="28" t="s">
        <v>57</v>
      </c>
      <c r="B142" s="28"/>
      <c r="C142" s="15"/>
      <c r="D142" s="15"/>
      <c r="E142" s="11"/>
      <c r="F142" s="11"/>
      <c r="G142" s="12"/>
    </row>
    <row r="143" spans="1:7" ht="30.75" customHeight="1" outlineLevel="1">
      <c r="A143" s="60" t="s">
        <v>5</v>
      </c>
      <c r="B143" s="28"/>
      <c r="C143" s="15">
        <v>13787.52</v>
      </c>
      <c r="D143" s="15">
        <v>3626.14</v>
      </c>
      <c r="E143" s="11">
        <f t="shared" si="21"/>
        <v>10161.380000000001</v>
      </c>
      <c r="F143" s="11">
        <f t="shared" si="22"/>
        <v>10161.380000000001</v>
      </c>
      <c r="G143" s="12"/>
    </row>
    <row r="144" spans="1:7" ht="30.75" customHeight="1" outlineLevel="1">
      <c r="A144" s="60" t="s">
        <v>61</v>
      </c>
      <c r="B144" s="28"/>
      <c r="C144" s="15">
        <f>9901.44-9000</f>
        <v>901.4400000000005</v>
      </c>
      <c r="D144" s="15">
        <v>9526.78</v>
      </c>
      <c r="E144" s="11">
        <f t="shared" si="21"/>
        <v>-8625.34</v>
      </c>
      <c r="F144" s="11">
        <f t="shared" si="22"/>
        <v>-8625.34</v>
      </c>
      <c r="G144" s="12"/>
    </row>
    <row r="145" spans="1:7" ht="30.75" customHeight="1" outlineLevel="1">
      <c r="A145" s="60" t="s">
        <v>58</v>
      </c>
      <c r="B145" s="28"/>
      <c r="C145" s="15">
        <v>92538.61</v>
      </c>
      <c r="D145" s="15">
        <v>88830.11</v>
      </c>
      <c r="E145" s="11">
        <f t="shared" si="21"/>
        <v>3708.5</v>
      </c>
      <c r="F145" s="11">
        <f t="shared" si="22"/>
        <v>3708.5</v>
      </c>
      <c r="G145" s="12"/>
    </row>
    <row r="146" spans="1:16" ht="37.5" customHeight="1" outlineLevel="1">
      <c r="A146" s="52" t="s">
        <v>64</v>
      </c>
      <c r="B146" s="53"/>
      <c r="C146" s="53">
        <f>C131+C132+C134+C135+C141+C142+C143+C144+C145+C151+C152+C153+C133+C139+C140</f>
        <v>2714134.4899999998</v>
      </c>
      <c r="D146" s="53">
        <f>D131+D132+D134+D135+D141+D142+D143+D144+D145+D151+D152+D153+D133+D139+D140</f>
        <v>2682881.4799999995</v>
      </c>
      <c r="E146" s="53">
        <f>E131+E132+E134+E135+E141+E142+E143+E144+E145+E151+E152+E153+E133+E139+E140</f>
        <v>31253.01000000011</v>
      </c>
      <c r="F146" s="53">
        <f>F131+F132+F134+F135+F141+F142+F143+F144+F145+F151+F152+F153+F133+F139+F140</f>
        <v>31253.01000000011</v>
      </c>
      <c r="G146" s="12"/>
      <c r="P146" s="67"/>
    </row>
    <row r="147" spans="1:7" ht="26.25" customHeight="1" outlineLevel="1">
      <c r="A147" s="52" t="s">
        <v>29</v>
      </c>
      <c r="B147" s="53"/>
      <c r="C147" s="53"/>
      <c r="D147" s="53"/>
      <c r="E147" s="53"/>
      <c r="F147" s="53"/>
      <c r="G147" s="12"/>
    </row>
    <row r="148" spans="1:7" ht="26.25" customHeight="1" outlineLevel="1">
      <c r="A148" s="52" t="s">
        <v>30</v>
      </c>
      <c r="B148" s="53"/>
      <c r="C148" s="53">
        <f>C135</f>
        <v>964717.8</v>
      </c>
      <c r="D148" s="53">
        <f>D135</f>
        <v>910515.87</v>
      </c>
      <c r="E148" s="53">
        <f>E135</f>
        <v>54201.93000000005</v>
      </c>
      <c r="F148" s="53">
        <f>F135</f>
        <v>54201.93000000005</v>
      </c>
      <c r="G148" s="12"/>
    </row>
    <row r="149" spans="1:7" ht="26.25" customHeight="1" outlineLevel="1">
      <c r="A149" s="52" t="s">
        <v>31</v>
      </c>
      <c r="B149" s="53"/>
      <c r="C149" s="53">
        <f>C131+C132+C134+C141+C133+C139+C140</f>
        <v>1482874.3100000003</v>
      </c>
      <c r="D149" s="53">
        <f>D131+D132+D134+D141+D133+D139+D140</f>
        <v>1528295.1799999997</v>
      </c>
      <c r="E149" s="53">
        <f>E131+E132+E134+E141+E133+E139+E140</f>
        <v>-45420.86999999995</v>
      </c>
      <c r="F149" s="53">
        <f>F131+F132+F134+F141+F133+F139+F140</f>
        <v>-45420.86999999995</v>
      </c>
      <c r="G149" s="12"/>
    </row>
    <row r="150" spans="1:7" ht="26.25" customHeight="1" outlineLevel="1">
      <c r="A150" s="51" t="s">
        <v>60</v>
      </c>
      <c r="B150" s="53"/>
      <c r="C150" s="53">
        <f>C142+C143+C144+C145</f>
        <v>107227.57</v>
      </c>
      <c r="D150" s="53">
        <f>D142+D143+D144+D145</f>
        <v>101983.03</v>
      </c>
      <c r="E150" s="53">
        <f>E142+E143+E144+E145</f>
        <v>5244.540000000001</v>
      </c>
      <c r="F150" s="53">
        <f>F142+F143+F144+F145</f>
        <v>5244.540000000001</v>
      </c>
      <c r="G150" s="12"/>
    </row>
    <row r="151" spans="1:7" ht="26.25" customHeight="1" outlineLevel="1">
      <c r="A151" s="72" t="s">
        <v>74</v>
      </c>
      <c r="B151" s="52"/>
      <c r="C151" s="52">
        <f aca="true" t="shared" si="24" ref="B151:F153">C136</f>
        <v>4272.97</v>
      </c>
      <c r="D151" s="52">
        <f t="shared" si="24"/>
        <v>6.53</v>
      </c>
      <c r="E151" s="52">
        <f t="shared" si="24"/>
        <v>4266.4400000000005</v>
      </c>
      <c r="F151" s="52">
        <f t="shared" si="24"/>
        <v>4266.4400000000005</v>
      </c>
      <c r="G151" s="12"/>
    </row>
    <row r="152" spans="1:7" ht="40.5" customHeight="1" outlineLevel="1">
      <c r="A152" s="72" t="s">
        <v>75</v>
      </c>
      <c r="B152" s="52"/>
      <c r="C152" s="52">
        <f t="shared" si="24"/>
        <v>27294.26</v>
      </c>
      <c r="D152" s="52">
        <f t="shared" si="24"/>
        <v>25171.67</v>
      </c>
      <c r="E152" s="52">
        <f t="shared" si="24"/>
        <v>2122.59</v>
      </c>
      <c r="F152" s="52">
        <f t="shared" si="24"/>
        <v>2122.59</v>
      </c>
      <c r="G152" s="12"/>
    </row>
    <row r="153" spans="1:7" ht="26.25" customHeight="1" outlineLevel="1">
      <c r="A153" s="72" t="s">
        <v>76</v>
      </c>
      <c r="B153" s="52"/>
      <c r="C153" s="52">
        <f t="shared" si="24"/>
        <v>127747.58</v>
      </c>
      <c r="D153" s="52">
        <f t="shared" si="24"/>
        <v>116909.2</v>
      </c>
      <c r="E153" s="52">
        <f t="shared" si="24"/>
        <v>10838.380000000005</v>
      </c>
      <c r="F153" s="52">
        <f t="shared" si="24"/>
        <v>10838.380000000005</v>
      </c>
      <c r="G153" s="12"/>
    </row>
    <row r="154" spans="1:7" ht="46.5" customHeight="1" outlineLevel="1">
      <c r="A154" s="37" t="s">
        <v>21</v>
      </c>
      <c r="B154" s="37"/>
      <c r="C154" s="37" t="s">
        <v>68</v>
      </c>
      <c r="D154" s="38" t="s">
        <v>69</v>
      </c>
      <c r="E154" s="39" t="s">
        <v>24</v>
      </c>
      <c r="F154" s="39" t="s">
        <v>70</v>
      </c>
      <c r="G154" s="19" t="s">
        <v>19</v>
      </c>
    </row>
    <row r="155" spans="1:7" ht="46.5" customHeight="1" outlineLevel="1">
      <c r="A155" s="18" t="s">
        <v>38</v>
      </c>
      <c r="B155" s="6"/>
      <c r="C155" s="7"/>
      <c r="D155" s="8"/>
      <c r="E155" s="9"/>
      <c r="F155" s="9"/>
      <c r="G155" s="19"/>
    </row>
    <row r="156" spans="1:7" ht="26.25" customHeight="1" outlineLevel="1">
      <c r="A156" s="29" t="s">
        <v>0</v>
      </c>
      <c r="B156" s="29"/>
      <c r="C156" s="15">
        <v>78382.59</v>
      </c>
      <c r="D156" s="15">
        <v>74946.57</v>
      </c>
      <c r="E156" s="11">
        <f aca="true" t="shared" si="25" ref="E156:E172">C156-D156</f>
        <v>3436.0199999999895</v>
      </c>
      <c r="F156" s="11">
        <f>E156+B156</f>
        <v>3436.0199999999895</v>
      </c>
      <c r="G156" s="12">
        <f>D156</f>
        <v>74946.57</v>
      </c>
    </row>
    <row r="157" spans="1:7" ht="32.25" customHeight="1" outlineLevel="1">
      <c r="A157" s="29" t="s">
        <v>1</v>
      </c>
      <c r="B157" s="29"/>
      <c r="C157" s="15"/>
      <c r="D157" s="15">
        <v>1040.34</v>
      </c>
      <c r="E157" s="11">
        <f t="shared" si="25"/>
        <v>-1040.34</v>
      </c>
      <c r="F157" s="11">
        <f>E157+B157</f>
        <v>-1040.34</v>
      </c>
      <c r="G157" s="12" t="s">
        <v>19</v>
      </c>
    </row>
    <row r="158" spans="1:9" ht="32.25" customHeight="1" outlineLevel="1">
      <c r="A158" s="30" t="s">
        <v>25</v>
      </c>
      <c r="B158" s="30"/>
      <c r="C158" s="30">
        <f>C156+C157</f>
        <v>78382.59</v>
      </c>
      <c r="D158" s="30">
        <f>D156+D157</f>
        <v>75986.91</v>
      </c>
      <c r="E158" s="30">
        <f>E156+E157</f>
        <v>2395.6799999999894</v>
      </c>
      <c r="F158" s="30">
        <f>F156+F157</f>
        <v>2395.6799999999894</v>
      </c>
      <c r="G158" s="12"/>
      <c r="I158" s="67">
        <f>F158</f>
        <v>2395.6799999999894</v>
      </c>
    </row>
    <row r="159" spans="1:7" ht="26.25" customHeight="1" outlineLevel="1">
      <c r="A159" s="29" t="s">
        <v>2</v>
      </c>
      <c r="B159" s="29"/>
      <c r="C159" s="15">
        <v>34212.67</v>
      </c>
      <c r="D159" s="15">
        <v>58797.51</v>
      </c>
      <c r="E159" s="11">
        <f t="shared" si="25"/>
        <v>-24584.840000000004</v>
      </c>
      <c r="F159" s="11">
        <f>E159+B159</f>
        <v>-24584.840000000004</v>
      </c>
      <c r="G159" s="12">
        <f>D159</f>
        <v>58797.51</v>
      </c>
    </row>
    <row r="160" spans="1:7" ht="33" customHeight="1" outlineLevel="1">
      <c r="A160" s="29" t="s">
        <v>95</v>
      </c>
      <c r="B160" s="29"/>
      <c r="C160" s="15">
        <v>194331.81</v>
      </c>
      <c r="D160" s="15">
        <v>185965.78</v>
      </c>
      <c r="E160" s="11">
        <f t="shared" si="25"/>
        <v>8366.029999999999</v>
      </c>
      <c r="F160" s="11">
        <f>E160+B160</f>
        <v>8366.029999999999</v>
      </c>
      <c r="G160" s="12" t="s">
        <v>19</v>
      </c>
    </row>
    <row r="161" spans="1:7" ht="33" customHeight="1" outlineLevel="1">
      <c r="A161" s="29" t="s">
        <v>93</v>
      </c>
      <c r="B161" s="29"/>
      <c r="C161" s="15">
        <v>33462.67</v>
      </c>
      <c r="D161" s="15">
        <v>32032.56</v>
      </c>
      <c r="E161" s="11">
        <f t="shared" si="25"/>
        <v>1430.109999999997</v>
      </c>
      <c r="F161" s="11">
        <f>E161+B161</f>
        <v>1430.109999999997</v>
      </c>
      <c r="G161" s="12"/>
    </row>
    <row r="162" spans="1:7" ht="33" customHeight="1" outlineLevel="1">
      <c r="A162" s="29" t="s">
        <v>98</v>
      </c>
      <c r="B162" s="29"/>
      <c r="C162" s="15">
        <v>10572.51</v>
      </c>
      <c r="D162" s="15">
        <v>11915.65</v>
      </c>
      <c r="E162" s="11">
        <f t="shared" si="25"/>
        <v>-1343.1399999999994</v>
      </c>
      <c r="F162" s="11">
        <f>E162+B162</f>
        <v>-1343.1399999999994</v>
      </c>
      <c r="G162" s="12"/>
    </row>
    <row r="163" spans="1:10" ht="37.5" customHeight="1" outlineLevel="1">
      <c r="A163" s="30" t="s">
        <v>26</v>
      </c>
      <c r="B163" s="30"/>
      <c r="C163" s="30">
        <f>C159+C160+C161+C162</f>
        <v>272579.66</v>
      </c>
      <c r="D163" s="30">
        <f>D159+D160+D161+D162</f>
        <v>288711.50000000006</v>
      </c>
      <c r="E163" s="30">
        <f>E159+E160+E161+E162</f>
        <v>-16131.840000000007</v>
      </c>
      <c r="F163" s="30">
        <f>F159+F160+F161+F162</f>
        <v>-16131.840000000007</v>
      </c>
      <c r="G163" s="12"/>
      <c r="J163" s="67">
        <f>F163</f>
        <v>-16131.840000000007</v>
      </c>
    </row>
    <row r="164" spans="1:7" ht="26.25" customHeight="1" outlineLevel="1">
      <c r="A164" s="29" t="s">
        <v>6</v>
      </c>
      <c r="B164" s="29"/>
      <c r="C164" s="15">
        <v>523583</v>
      </c>
      <c r="D164" s="15">
        <v>605774.15</v>
      </c>
      <c r="E164" s="11">
        <f t="shared" si="25"/>
        <v>-82191.15000000002</v>
      </c>
      <c r="F164" s="11">
        <f aca="true" t="shared" si="26" ref="F164:F169">E164+B164</f>
        <v>-82191.15000000002</v>
      </c>
      <c r="G164" s="12">
        <f>D164</f>
        <v>605774.15</v>
      </c>
    </row>
    <row r="165" spans="1:7" ht="26.25" customHeight="1" outlineLevel="1">
      <c r="A165" s="70" t="s">
        <v>71</v>
      </c>
      <c r="B165" s="70"/>
      <c r="C165" s="71">
        <v>1596.77</v>
      </c>
      <c r="D165" s="71">
        <v>8.29</v>
      </c>
      <c r="E165" s="89">
        <f t="shared" si="25"/>
        <v>1588.48</v>
      </c>
      <c r="F165" s="89">
        <f t="shared" si="26"/>
        <v>1588.48</v>
      </c>
      <c r="G165" s="12"/>
    </row>
    <row r="166" spans="1:7" ht="35.25" customHeight="1" outlineLevel="1">
      <c r="A166" s="70" t="s">
        <v>72</v>
      </c>
      <c r="B166" s="70"/>
      <c r="C166" s="71">
        <v>10391.66</v>
      </c>
      <c r="D166" s="71">
        <v>9582.57</v>
      </c>
      <c r="E166" s="89">
        <f t="shared" si="25"/>
        <v>809.0900000000001</v>
      </c>
      <c r="F166" s="89">
        <f t="shared" si="26"/>
        <v>809.0900000000001</v>
      </c>
      <c r="G166" s="12"/>
    </row>
    <row r="167" spans="1:7" ht="26.25" customHeight="1" outlineLevel="1">
      <c r="A167" s="70" t="s">
        <v>73</v>
      </c>
      <c r="B167" s="70"/>
      <c r="C167" s="71">
        <v>20441.34</v>
      </c>
      <c r="D167" s="71">
        <v>19838.74</v>
      </c>
      <c r="E167" s="89">
        <f t="shared" si="25"/>
        <v>602.5999999999985</v>
      </c>
      <c r="F167" s="89">
        <f t="shared" si="26"/>
        <v>602.5999999999985</v>
      </c>
      <c r="G167" s="12"/>
    </row>
    <row r="168" spans="1:7" ht="26.25" customHeight="1" outlineLevel="1">
      <c r="A168" s="29" t="s">
        <v>7</v>
      </c>
      <c r="B168" s="29"/>
      <c r="C168" s="15">
        <v>89563.21</v>
      </c>
      <c r="D168" s="15">
        <v>85126.19</v>
      </c>
      <c r="E168" s="11">
        <f t="shared" si="25"/>
        <v>4437.020000000004</v>
      </c>
      <c r="F168" s="11">
        <f t="shared" si="26"/>
        <v>4437.020000000004</v>
      </c>
      <c r="G168" s="12">
        <f>D168</f>
        <v>85126.19</v>
      </c>
    </row>
    <row r="169" spans="1:7" ht="38.25" customHeight="1" outlineLevel="1">
      <c r="A169" s="29" t="s">
        <v>9</v>
      </c>
      <c r="B169" s="29"/>
      <c r="C169" s="15">
        <v>19395.09</v>
      </c>
      <c r="D169" s="15">
        <v>15824.38</v>
      </c>
      <c r="E169" s="11">
        <f t="shared" si="25"/>
        <v>3570.710000000001</v>
      </c>
      <c r="F169" s="11">
        <f t="shared" si="26"/>
        <v>3570.710000000001</v>
      </c>
      <c r="G169" s="12" t="s">
        <v>19</v>
      </c>
    </row>
    <row r="170" spans="1:12" ht="38.25" customHeight="1" outlineLevel="1">
      <c r="A170" s="30" t="s">
        <v>28</v>
      </c>
      <c r="B170" s="30"/>
      <c r="C170" s="30">
        <f>C168+C169</f>
        <v>108958.3</v>
      </c>
      <c r="D170" s="30">
        <f>D168+D169</f>
        <v>100950.57</v>
      </c>
      <c r="E170" s="30">
        <f>E168+E169</f>
        <v>8007.730000000005</v>
      </c>
      <c r="F170" s="30">
        <f>F168+F169</f>
        <v>8007.730000000005</v>
      </c>
      <c r="G170" s="12"/>
      <c r="L170" s="67">
        <f>F170</f>
        <v>8007.730000000005</v>
      </c>
    </row>
    <row r="171" spans="1:7" ht="26.25" customHeight="1" outlineLevel="1">
      <c r="A171" s="29" t="s">
        <v>11</v>
      </c>
      <c r="B171" s="29"/>
      <c r="C171" s="15">
        <v>298556.76</v>
      </c>
      <c r="D171" s="15">
        <v>290403.52</v>
      </c>
      <c r="E171" s="11">
        <f t="shared" si="25"/>
        <v>8153.239999999991</v>
      </c>
      <c r="F171" s="11">
        <f>E171+B171</f>
        <v>8153.239999999991</v>
      </c>
      <c r="G171" s="12">
        <f>D171</f>
        <v>290403.52</v>
      </c>
    </row>
    <row r="172" spans="1:7" ht="36" customHeight="1" outlineLevel="1">
      <c r="A172" s="29" t="s">
        <v>13</v>
      </c>
      <c r="B172" s="29"/>
      <c r="C172" s="15">
        <v>41449.96</v>
      </c>
      <c r="D172" s="15">
        <v>34658.56</v>
      </c>
      <c r="E172" s="11">
        <f t="shared" si="25"/>
        <v>6791.4000000000015</v>
      </c>
      <c r="F172" s="11">
        <f>E172+B172</f>
        <v>6791.4000000000015</v>
      </c>
      <c r="G172" s="12" t="s">
        <v>19</v>
      </c>
    </row>
    <row r="173" spans="1:13" ht="36" customHeight="1" outlineLevel="1">
      <c r="A173" s="30" t="s">
        <v>39</v>
      </c>
      <c r="B173" s="30"/>
      <c r="C173" s="30">
        <f>C171+C172</f>
        <v>340006.72000000003</v>
      </c>
      <c r="D173" s="30">
        <f>D171+D172</f>
        <v>325062.08</v>
      </c>
      <c r="E173" s="30">
        <f>E171+E172</f>
        <v>14944.639999999992</v>
      </c>
      <c r="F173" s="30">
        <f>F171+F172</f>
        <v>14944.639999999992</v>
      </c>
      <c r="G173" s="29" t="e">
        <f>G171+#REF!+G172</f>
        <v>#REF!</v>
      </c>
      <c r="M173" s="67">
        <f>F173</f>
        <v>14944.639999999992</v>
      </c>
    </row>
    <row r="174" spans="1:7" ht="36" customHeight="1" outlineLevel="1">
      <c r="A174" s="60" t="s">
        <v>5</v>
      </c>
      <c r="B174" s="30"/>
      <c r="C174" s="59">
        <v>60592.76</v>
      </c>
      <c r="D174" s="59">
        <v>258.06</v>
      </c>
      <c r="E174" s="11">
        <f>C174-D174</f>
        <v>60334.700000000004</v>
      </c>
      <c r="F174" s="11">
        <f>E174+B174</f>
        <v>60334.700000000004</v>
      </c>
      <c r="G174" s="29"/>
    </row>
    <row r="175" spans="1:7" ht="36" customHeight="1" outlineLevel="1">
      <c r="A175" s="52" t="s">
        <v>64</v>
      </c>
      <c r="B175" s="53"/>
      <c r="C175" s="53">
        <f>C158+C163+C164+C170+C173+C174+C180+C181+C182</f>
        <v>1416532.8</v>
      </c>
      <c r="D175" s="53">
        <f>D158+D163+D164+D170+D173+D174+D180+D181+D182</f>
        <v>1426172.8700000003</v>
      </c>
      <c r="E175" s="53">
        <f>E158+E163+E164+E170+E173+E174+E180+E181+E182</f>
        <v>-9640.070000000029</v>
      </c>
      <c r="F175" s="53">
        <f>F158+F163+F164+F170+F173+F174+F180+F181+F182</f>
        <v>-9640.070000000029</v>
      </c>
      <c r="G175" s="53" t="e">
        <f>G158+G163+G164+G170+G173+#REF!+G174</f>
        <v>#REF!</v>
      </c>
    </row>
    <row r="176" spans="1:7" ht="15" customHeight="1" outlineLevel="1">
      <c r="A176" s="52" t="s">
        <v>29</v>
      </c>
      <c r="B176" s="53"/>
      <c r="C176" s="53"/>
      <c r="D176" s="53"/>
      <c r="E176" s="53"/>
      <c r="F176" s="53"/>
      <c r="G176" s="29"/>
    </row>
    <row r="177" spans="1:7" ht="30" customHeight="1" outlineLevel="1">
      <c r="A177" s="52" t="s">
        <v>30</v>
      </c>
      <c r="B177" s="53"/>
      <c r="C177" s="53">
        <f>C164</f>
        <v>523583</v>
      </c>
      <c r="D177" s="53">
        <f>D164</f>
        <v>605774.15</v>
      </c>
      <c r="E177" s="53">
        <f>E164</f>
        <v>-82191.15000000002</v>
      </c>
      <c r="F177" s="53">
        <f>F164</f>
        <v>-82191.15000000002</v>
      </c>
      <c r="G177" s="29"/>
    </row>
    <row r="178" spans="1:7" ht="25.5" customHeight="1" outlineLevel="1">
      <c r="A178" s="52" t="s">
        <v>31</v>
      </c>
      <c r="B178" s="53"/>
      <c r="C178" s="53">
        <f>C158+C163+C170+C173</f>
        <v>799927.27</v>
      </c>
      <c r="D178" s="53">
        <f>D158+D163+D170+D173</f>
        <v>790711.06</v>
      </c>
      <c r="E178" s="53">
        <f>E158+E163+E170+E173</f>
        <v>9216.20999999998</v>
      </c>
      <c r="F178" s="53">
        <f>F158+F163+F170+F173</f>
        <v>9216.20999999998</v>
      </c>
      <c r="G178" s="29"/>
    </row>
    <row r="179" spans="1:7" ht="29.25" customHeight="1" outlineLevel="1">
      <c r="A179" s="51" t="s">
        <v>51</v>
      </c>
      <c r="B179" s="53"/>
      <c r="C179" s="53">
        <f>C174</f>
        <v>60592.76</v>
      </c>
      <c r="D179" s="53">
        <f>D174</f>
        <v>258.06</v>
      </c>
      <c r="E179" s="53">
        <f>E174</f>
        <v>60334.700000000004</v>
      </c>
      <c r="F179" s="53">
        <f>F174</f>
        <v>60334.700000000004</v>
      </c>
      <c r="G179" s="29"/>
    </row>
    <row r="180" spans="1:7" ht="29.25" customHeight="1" outlineLevel="1">
      <c r="A180" s="72" t="s">
        <v>74</v>
      </c>
      <c r="B180" s="52"/>
      <c r="C180" s="52">
        <f aca="true" t="shared" si="27" ref="B180:F182">C165</f>
        <v>1596.77</v>
      </c>
      <c r="D180" s="52">
        <f t="shared" si="27"/>
        <v>8.29</v>
      </c>
      <c r="E180" s="52">
        <f t="shared" si="27"/>
        <v>1588.48</v>
      </c>
      <c r="F180" s="52">
        <f t="shared" si="27"/>
        <v>1588.48</v>
      </c>
      <c r="G180" s="76"/>
    </row>
    <row r="181" spans="1:7" ht="29.25" customHeight="1" outlineLevel="1">
      <c r="A181" s="72" t="s">
        <v>75</v>
      </c>
      <c r="B181" s="52"/>
      <c r="C181" s="52">
        <f t="shared" si="27"/>
        <v>10391.66</v>
      </c>
      <c r="D181" s="52">
        <f t="shared" si="27"/>
        <v>9582.57</v>
      </c>
      <c r="E181" s="52">
        <f t="shared" si="27"/>
        <v>809.0900000000001</v>
      </c>
      <c r="F181" s="52">
        <f t="shared" si="27"/>
        <v>809.0900000000001</v>
      </c>
      <c r="G181" s="76"/>
    </row>
    <row r="182" spans="1:7" ht="29.25" customHeight="1" outlineLevel="1">
      <c r="A182" s="72" t="s">
        <v>76</v>
      </c>
      <c r="B182" s="52"/>
      <c r="C182" s="52">
        <f t="shared" si="27"/>
        <v>20441.34</v>
      </c>
      <c r="D182" s="52">
        <f t="shared" si="27"/>
        <v>19838.74</v>
      </c>
      <c r="E182" s="52">
        <f t="shared" si="27"/>
        <v>602.5999999999985</v>
      </c>
      <c r="F182" s="52">
        <f t="shared" si="27"/>
        <v>602.5999999999985</v>
      </c>
      <c r="G182" s="76"/>
    </row>
    <row r="183" spans="1:7" ht="26.25" customHeight="1">
      <c r="A183" s="91" t="s">
        <v>14</v>
      </c>
      <c r="B183" s="92"/>
      <c r="C183" s="92"/>
      <c r="D183" s="92"/>
      <c r="E183" s="92"/>
      <c r="F183" s="92"/>
      <c r="G183" s="92"/>
    </row>
    <row r="184" spans="1:7" ht="48" customHeight="1" outlineLevel="1">
      <c r="A184" s="37" t="s">
        <v>21</v>
      </c>
      <c r="B184" s="37"/>
      <c r="C184" s="37" t="s">
        <v>68</v>
      </c>
      <c r="D184" s="38" t="s">
        <v>69</v>
      </c>
      <c r="E184" s="39" t="s">
        <v>24</v>
      </c>
      <c r="F184" s="39" t="s">
        <v>70</v>
      </c>
      <c r="G184" s="19" t="s">
        <v>19</v>
      </c>
    </row>
    <row r="185" spans="1:7" ht="26.25" customHeight="1" outlineLevel="1">
      <c r="A185" s="22" t="s">
        <v>40</v>
      </c>
      <c r="B185" s="21"/>
      <c r="C185" s="14" t="s">
        <v>19</v>
      </c>
      <c r="D185" s="14"/>
      <c r="E185" s="10"/>
      <c r="F185" s="10"/>
      <c r="G185" s="10"/>
    </row>
    <row r="186" spans="1:9" ht="26.25" customHeight="1" outlineLevel="1">
      <c r="A186" s="21" t="s">
        <v>0</v>
      </c>
      <c r="B186" s="21"/>
      <c r="C186" s="10">
        <v>104399.6</v>
      </c>
      <c r="D186" s="10">
        <v>99368.48</v>
      </c>
      <c r="E186" s="14">
        <f aca="true" t="shared" si="28" ref="E186:E207">C186-D186</f>
        <v>5031.12000000001</v>
      </c>
      <c r="F186" s="14">
        <f>E186+B186</f>
        <v>5031.12000000001</v>
      </c>
      <c r="G186" s="14">
        <f>D186</f>
        <v>99368.48</v>
      </c>
      <c r="I186" s="67">
        <f>F186</f>
        <v>5031.12000000001</v>
      </c>
    </row>
    <row r="187" spans="1:7" ht="36" customHeight="1" outlineLevel="1">
      <c r="A187" s="21" t="s">
        <v>101</v>
      </c>
      <c r="B187" s="21"/>
      <c r="C187" s="10">
        <v>1670793.02</v>
      </c>
      <c r="D187" s="10">
        <v>1688500.77</v>
      </c>
      <c r="E187" s="14">
        <f t="shared" si="28"/>
        <v>-17707.75</v>
      </c>
      <c r="F187" s="14">
        <f aca="true" t="shared" si="29" ref="F187:F207">E187+B187</f>
        <v>-17707.75</v>
      </c>
      <c r="G187" s="14" t="s">
        <v>19</v>
      </c>
    </row>
    <row r="188" spans="1:10" ht="26.25" customHeight="1" outlineLevel="1">
      <c r="A188" s="21" t="s">
        <v>2</v>
      </c>
      <c r="B188" s="21"/>
      <c r="C188" s="10"/>
      <c r="D188" s="10">
        <v>4.72</v>
      </c>
      <c r="E188" s="14">
        <f t="shared" si="28"/>
        <v>-4.72</v>
      </c>
      <c r="F188" s="14">
        <f t="shared" si="29"/>
        <v>-4.72</v>
      </c>
      <c r="G188" s="14">
        <f>D188</f>
        <v>4.72</v>
      </c>
      <c r="J188" s="67">
        <f>F188</f>
        <v>-4.72</v>
      </c>
    </row>
    <row r="189" spans="1:7" ht="26.25" customHeight="1" outlineLevel="1">
      <c r="A189" s="21" t="s">
        <v>5</v>
      </c>
      <c r="B189" s="21"/>
      <c r="C189" s="10">
        <v>59001.03</v>
      </c>
      <c r="D189" s="10">
        <v>31542.65</v>
      </c>
      <c r="E189" s="14">
        <f t="shared" si="28"/>
        <v>27458.379999999997</v>
      </c>
      <c r="F189" s="14">
        <f t="shared" si="29"/>
        <v>27458.379999999997</v>
      </c>
      <c r="G189" s="14" t="s">
        <v>19</v>
      </c>
    </row>
    <row r="190" spans="1:7" ht="26.25" customHeight="1" outlineLevel="1">
      <c r="A190" s="21" t="s">
        <v>58</v>
      </c>
      <c r="B190" s="21"/>
      <c r="C190" s="10">
        <v>166222.69</v>
      </c>
      <c r="D190" s="10">
        <v>162155.09</v>
      </c>
      <c r="E190" s="14">
        <f t="shared" si="28"/>
        <v>4067.600000000006</v>
      </c>
      <c r="F190" s="14">
        <f t="shared" si="29"/>
        <v>4067.600000000006</v>
      </c>
      <c r="G190" s="14"/>
    </row>
    <row r="191" spans="1:7" ht="26.25" customHeight="1" outlineLevel="1">
      <c r="A191" s="21" t="s">
        <v>104</v>
      </c>
      <c r="B191" s="21"/>
      <c r="C191" s="10">
        <v>6827.67</v>
      </c>
      <c r="D191" s="10">
        <v>5928.92</v>
      </c>
      <c r="E191" s="14">
        <f t="shared" si="28"/>
        <v>898.75</v>
      </c>
      <c r="F191" s="14">
        <f t="shared" si="29"/>
        <v>898.75</v>
      </c>
      <c r="G191" s="14"/>
    </row>
    <row r="192" spans="1:7" ht="30" customHeight="1" outlineLevel="1">
      <c r="A192" s="21" t="s">
        <v>100</v>
      </c>
      <c r="B192" s="21"/>
      <c r="C192" s="10">
        <v>128321.53</v>
      </c>
      <c r="D192" s="10">
        <v>123999.89</v>
      </c>
      <c r="E192" s="14">
        <f t="shared" si="28"/>
        <v>4321.639999999999</v>
      </c>
      <c r="F192" s="14">
        <f t="shared" si="29"/>
        <v>4321.639999999999</v>
      </c>
      <c r="G192" s="14"/>
    </row>
    <row r="193" spans="1:7" ht="26.25" customHeight="1" hidden="1" outlineLevel="1">
      <c r="A193" s="28" t="s">
        <v>57</v>
      </c>
      <c r="B193" s="21"/>
      <c r="C193" s="10"/>
      <c r="D193" s="10"/>
      <c r="E193" s="14">
        <f t="shared" si="28"/>
        <v>0</v>
      </c>
      <c r="F193" s="14">
        <f t="shared" si="29"/>
        <v>0</v>
      </c>
      <c r="G193" s="14"/>
    </row>
    <row r="194" spans="1:7" ht="26.25" customHeight="1" outlineLevel="1">
      <c r="A194" s="21" t="s">
        <v>6</v>
      </c>
      <c r="B194" s="21"/>
      <c r="C194" s="10">
        <v>2091702.89</v>
      </c>
      <c r="D194" s="10">
        <v>2110016.92</v>
      </c>
      <c r="E194" s="14">
        <f t="shared" si="28"/>
        <v>-18314.030000000028</v>
      </c>
      <c r="F194" s="14">
        <f t="shared" si="29"/>
        <v>-18314.030000000028</v>
      </c>
      <c r="G194" s="14">
        <f>D194</f>
        <v>2110016.92</v>
      </c>
    </row>
    <row r="195" spans="1:7" ht="26.25" customHeight="1" outlineLevel="1">
      <c r="A195" s="70" t="s">
        <v>71</v>
      </c>
      <c r="B195" s="73"/>
      <c r="C195" s="71">
        <v>8840.54</v>
      </c>
      <c r="D195" s="71">
        <v>10048.24</v>
      </c>
      <c r="E195" s="84">
        <f t="shared" si="28"/>
        <v>-1207.699999999999</v>
      </c>
      <c r="F195" s="84">
        <f t="shared" si="29"/>
        <v>-1207.699999999999</v>
      </c>
      <c r="G195" s="14"/>
    </row>
    <row r="196" spans="1:7" ht="31.5" customHeight="1" outlineLevel="1">
      <c r="A196" s="70" t="s">
        <v>99</v>
      </c>
      <c r="B196" s="73"/>
      <c r="C196" s="71">
        <v>23.24</v>
      </c>
      <c r="D196" s="71">
        <v>5139.52</v>
      </c>
      <c r="E196" s="84">
        <f t="shared" si="28"/>
        <v>-5116.280000000001</v>
      </c>
      <c r="F196" s="84">
        <f t="shared" si="29"/>
        <v>-5116.280000000001</v>
      </c>
      <c r="G196" s="14"/>
    </row>
    <row r="197" spans="1:7" ht="30" customHeight="1" outlineLevel="1">
      <c r="A197" s="70" t="s">
        <v>73</v>
      </c>
      <c r="B197" s="73"/>
      <c r="C197" s="71">
        <v>250889.45</v>
      </c>
      <c r="D197" s="71">
        <v>250712.89</v>
      </c>
      <c r="E197" s="84">
        <f t="shared" si="28"/>
        <v>176.55999999999767</v>
      </c>
      <c r="F197" s="84">
        <f t="shared" si="29"/>
        <v>176.55999999999767</v>
      </c>
      <c r="G197" s="14"/>
    </row>
    <row r="198" spans="1:7" ht="35.25" customHeight="1" outlineLevel="1">
      <c r="A198" s="21" t="s">
        <v>15</v>
      </c>
      <c r="B198" s="21"/>
      <c r="C198" s="10">
        <v>1606855.31</v>
      </c>
      <c r="D198" s="10">
        <v>1580909.26</v>
      </c>
      <c r="E198" s="14">
        <f t="shared" si="28"/>
        <v>25946.050000000047</v>
      </c>
      <c r="F198" s="14">
        <f t="shared" si="29"/>
        <v>25946.050000000047</v>
      </c>
      <c r="G198" s="14" t="s">
        <v>19</v>
      </c>
    </row>
    <row r="199" spans="1:7" ht="38.25" customHeight="1" outlineLevel="1">
      <c r="A199" s="21" t="s">
        <v>16</v>
      </c>
      <c r="B199" s="21"/>
      <c r="C199" s="10">
        <v>207787.69</v>
      </c>
      <c r="D199" s="10">
        <v>204432.5</v>
      </c>
      <c r="E199" s="14">
        <f t="shared" si="28"/>
        <v>3355.1900000000023</v>
      </c>
      <c r="F199" s="14">
        <f t="shared" si="29"/>
        <v>3355.1900000000023</v>
      </c>
      <c r="G199" s="14" t="s">
        <v>19</v>
      </c>
    </row>
    <row r="200" spans="1:7" ht="44.25" customHeight="1" outlineLevel="1">
      <c r="A200" s="85" t="s">
        <v>102</v>
      </c>
      <c r="B200" s="21"/>
      <c r="C200" s="10">
        <v>686451.14</v>
      </c>
      <c r="D200" s="10">
        <v>541540.78</v>
      </c>
      <c r="E200" s="14">
        <f t="shared" si="28"/>
        <v>144910.36</v>
      </c>
      <c r="F200" s="14">
        <f t="shared" si="29"/>
        <v>144910.36</v>
      </c>
      <c r="G200" s="14" t="s">
        <v>19</v>
      </c>
    </row>
    <row r="201" spans="1:7" ht="44.25" customHeight="1" outlineLevel="1">
      <c r="A201" s="85" t="s">
        <v>103</v>
      </c>
      <c r="B201" s="21"/>
      <c r="C201" s="10">
        <v>137044.24</v>
      </c>
      <c r="D201" s="10">
        <v>224157.54</v>
      </c>
      <c r="E201" s="14">
        <f t="shared" si="28"/>
        <v>-87113.30000000002</v>
      </c>
      <c r="F201" s="14">
        <f t="shared" si="29"/>
        <v>-87113.30000000002</v>
      </c>
      <c r="G201" s="14"/>
    </row>
    <row r="202" spans="1:7" ht="26.25" customHeight="1" outlineLevel="1">
      <c r="A202" s="20" t="s">
        <v>17</v>
      </c>
      <c r="B202" s="20"/>
      <c r="C202" s="15">
        <v>36599.09</v>
      </c>
      <c r="D202" s="15">
        <v>36009.43</v>
      </c>
      <c r="E202" s="14">
        <f t="shared" si="28"/>
        <v>589.6599999999962</v>
      </c>
      <c r="F202" s="14">
        <f t="shared" si="29"/>
        <v>589.6599999999962</v>
      </c>
      <c r="G202" s="12" t="s">
        <v>19</v>
      </c>
    </row>
    <row r="203" spans="1:7" ht="33.75" customHeight="1" outlineLevel="1">
      <c r="A203" s="20" t="s">
        <v>10</v>
      </c>
      <c r="B203" s="20"/>
      <c r="C203" s="15">
        <v>278302.05</v>
      </c>
      <c r="D203" s="15">
        <v>273808.26</v>
      </c>
      <c r="E203" s="14">
        <f t="shared" si="28"/>
        <v>4493.789999999979</v>
      </c>
      <c r="F203" s="14">
        <f t="shared" si="29"/>
        <v>4493.789999999979</v>
      </c>
      <c r="G203" s="12" t="s">
        <v>19</v>
      </c>
    </row>
    <row r="204" spans="1:12" ht="26.25" customHeight="1" outlineLevel="1">
      <c r="A204" s="20" t="s">
        <v>7</v>
      </c>
      <c r="B204" s="20"/>
      <c r="C204" s="15">
        <v>124872.21</v>
      </c>
      <c r="D204" s="15">
        <v>119601.55</v>
      </c>
      <c r="E204" s="14">
        <f t="shared" si="28"/>
        <v>5270.6600000000035</v>
      </c>
      <c r="F204" s="14">
        <f t="shared" si="29"/>
        <v>5270.6600000000035</v>
      </c>
      <c r="G204" s="12">
        <f>D204</f>
        <v>119601.55</v>
      </c>
      <c r="L204" s="67">
        <f>F204</f>
        <v>5270.6600000000035</v>
      </c>
    </row>
    <row r="205" spans="1:7" ht="30.75" customHeight="1" outlineLevel="1">
      <c r="A205" s="20" t="s">
        <v>82</v>
      </c>
      <c r="B205" s="21"/>
      <c r="C205" s="15">
        <v>68904.2</v>
      </c>
      <c r="D205" s="15">
        <v>64982.74</v>
      </c>
      <c r="E205" s="14">
        <f t="shared" si="28"/>
        <v>3921.459999999999</v>
      </c>
      <c r="F205" s="14">
        <f t="shared" si="29"/>
        <v>3921.459999999999</v>
      </c>
      <c r="G205" s="12"/>
    </row>
    <row r="206" spans="1:7" ht="26.25" customHeight="1" outlineLevel="1">
      <c r="A206" s="20" t="s">
        <v>11</v>
      </c>
      <c r="B206" s="20"/>
      <c r="C206" s="15">
        <v>461301.57</v>
      </c>
      <c r="D206" s="15">
        <v>430479.36</v>
      </c>
      <c r="E206" s="14">
        <f t="shared" si="28"/>
        <v>30822.21000000002</v>
      </c>
      <c r="F206" s="14">
        <f t="shared" si="29"/>
        <v>30822.21000000002</v>
      </c>
      <c r="G206" s="12">
        <f>D206</f>
        <v>430479.36</v>
      </c>
    </row>
    <row r="207" spans="1:7" ht="35.25" customHeight="1" outlineLevel="1">
      <c r="A207" s="20" t="s">
        <v>63</v>
      </c>
      <c r="B207" s="20"/>
      <c r="C207" s="15">
        <v>537728.42</v>
      </c>
      <c r="D207" s="15">
        <v>500611.69</v>
      </c>
      <c r="E207" s="14">
        <f t="shared" si="28"/>
        <v>37116.73000000004</v>
      </c>
      <c r="F207" s="14">
        <f t="shared" si="29"/>
        <v>37116.73000000004</v>
      </c>
      <c r="G207" s="12"/>
    </row>
    <row r="208" spans="1:16" ht="37.5" customHeight="1" outlineLevel="1">
      <c r="A208" s="52" t="s">
        <v>64</v>
      </c>
      <c r="B208" s="53"/>
      <c r="C208" s="53">
        <f>SUM(C186:C207)</f>
        <v>8632867.580000002</v>
      </c>
      <c r="D208" s="53">
        <f>SUM(D186:D207)</f>
        <v>8463951.2</v>
      </c>
      <c r="E208" s="53">
        <f>SUM(E186:E207)</f>
        <v>168916.38000000003</v>
      </c>
      <c r="F208" s="53">
        <f>SUM(F186:F207)</f>
        <v>168916.38000000003</v>
      </c>
      <c r="G208" s="53">
        <f>SUM(G185:G206)</f>
        <v>2759471.03</v>
      </c>
      <c r="I208" s="67"/>
      <c r="P208" s="67"/>
    </row>
    <row r="209" spans="1:9" ht="26.25" customHeight="1" outlineLevel="1">
      <c r="A209" s="52" t="s">
        <v>29</v>
      </c>
      <c r="B209" s="53"/>
      <c r="C209" s="53"/>
      <c r="D209" s="53"/>
      <c r="E209" s="53"/>
      <c r="F209" s="53"/>
      <c r="G209" s="12"/>
      <c r="I209" s="67"/>
    </row>
    <row r="210" spans="1:9" ht="26.25" customHeight="1" outlineLevel="1">
      <c r="A210" s="52" t="s">
        <v>30</v>
      </c>
      <c r="B210" s="53"/>
      <c r="C210" s="53">
        <f>C194</f>
        <v>2091702.89</v>
      </c>
      <c r="D210" s="53">
        <f>D194</f>
        <v>2110016.92</v>
      </c>
      <c r="E210" s="53">
        <f>E194</f>
        <v>-18314.030000000028</v>
      </c>
      <c r="F210" s="53">
        <f>F194</f>
        <v>-18314.030000000028</v>
      </c>
      <c r="G210" s="12"/>
      <c r="I210" s="67"/>
    </row>
    <row r="211" spans="1:15" ht="26.25" customHeight="1" outlineLevel="1">
      <c r="A211" s="52" t="s">
        <v>31</v>
      </c>
      <c r="B211" s="53"/>
      <c r="C211" s="53">
        <f>C186+C188+C204+C205+C206+C207</f>
        <v>1297206</v>
      </c>
      <c r="D211" s="53">
        <f>D186+D188+D204+D205+D206+D207</f>
        <v>1215048.54</v>
      </c>
      <c r="E211" s="53">
        <f>E186+E188+E204+E205+E206+E207</f>
        <v>82157.46000000008</v>
      </c>
      <c r="F211" s="53">
        <f>F186+F188+F204+F205+F206+F207</f>
        <v>82157.46000000008</v>
      </c>
      <c r="G211" s="53" t="e">
        <f>G186+G188+#REF!+G204+G205+G206+#REF!+G207</f>
        <v>#REF!</v>
      </c>
      <c r="H211" s="53" t="e">
        <f>H186+H188+#REF!+H204+H205+H206+#REF!+H207</f>
        <v>#REF!</v>
      </c>
      <c r="I211" s="53" t="e">
        <f>I186+I188+#REF!+I204+I205+I206+#REF!+I207</f>
        <v>#REF!</v>
      </c>
      <c r="J211" s="53" t="e">
        <f>J186+J188+#REF!+J204+J205+J206+#REF!+J207</f>
        <v>#REF!</v>
      </c>
      <c r="K211" s="53" t="e">
        <f>K186+K188+#REF!+K204+K205+K206+#REF!+K207</f>
        <v>#REF!</v>
      </c>
      <c r="L211" s="53" t="e">
        <f>L186+L188+#REF!+L204+L205+L206+#REF!+L207</f>
        <v>#REF!</v>
      </c>
      <c r="M211" s="53" t="e">
        <f>M186+M188+#REF!+M204+M205+M206+#REF!+M207</f>
        <v>#REF!</v>
      </c>
      <c r="N211" s="53" t="e">
        <f>N186+N188+#REF!+N204+N205+N206+#REF!+N207</f>
        <v>#REF!</v>
      </c>
      <c r="O211" s="53" t="e">
        <f>O186+O188+#REF!+O204+O205+O206+#REF!+O207</f>
        <v>#REF!</v>
      </c>
    </row>
    <row r="212" spans="1:15" ht="26.25" customHeight="1" outlineLevel="1">
      <c r="A212" s="52" t="s">
        <v>41</v>
      </c>
      <c r="B212" s="53"/>
      <c r="C212" s="53">
        <f>C187+C189+C190+C192+C198+C199+C200+C202+C203+C201+C191</f>
        <v>4984205.46</v>
      </c>
      <c r="D212" s="53">
        <f>D187+D189+D190+D192+D198+D199+D200+D202+D203+D201+D191</f>
        <v>4872985.09</v>
      </c>
      <c r="E212" s="53">
        <f>E187+E189+E190+E192+E198+E199+E200+E202+E203+E201+E191</f>
        <v>111220.37</v>
      </c>
      <c r="F212" s="53">
        <f>F187+F189+F190+F192+F198+F199+F200+F202+F203+F201+F191</f>
        <v>111220.37</v>
      </c>
      <c r="G212" s="53" t="e">
        <f>G187+G189+G190+G192+#REF!+G198+G199+G200+G202+G203+G201+G191</f>
        <v>#VALUE!</v>
      </c>
      <c r="H212" s="53" t="e">
        <f>H187+H189+H190+H192+#REF!+H198+H199+H200+H202+H203+H201+H191</f>
        <v>#REF!</v>
      </c>
      <c r="I212" s="53" t="e">
        <f>I187+I189+I190+I192+#REF!+I198+I199+I200+I202+I203+I201+I191</f>
        <v>#REF!</v>
      </c>
      <c r="J212" s="53" t="e">
        <f>J187+J189+J190+J192+#REF!+J198+J199+J200+J202+J203+J201+J191</f>
        <v>#REF!</v>
      </c>
      <c r="K212" s="53" t="e">
        <f>K187+K189+K190+K192+#REF!+K198+K199+K200+K202+K203+K201+K191</f>
        <v>#REF!</v>
      </c>
      <c r="L212" s="53" t="e">
        <f>L187+L189+L190+L192+#REF!+L198+L199+L200+L202+L203+L201+L191</f>
        <v>#REF!</v>
      </c>
      <c r="M212" s="53" t="e">
        <f>M187+M189+M190+M192+#REF!+M198+M199+M200+M202+M203+M201+M191</f>
        <v>#REF!</v>
      </c>
      <c r="N212" s="53" t="e">
        <f>N187+N189+N190+N192+#REF!+N198+N199+N200+N202+N203+N201+N191</f>
        <v>#REF!</v>
      </c>
      <c r="O212" s="53" t="e">
        <f>O187+O189+O190+O192+#REF!+O198+O199+O200+O202+O203+O201+O191</f>
        <v>#REF!</v>
      </c>
    </row>
    <row r="213" spans="1:9" ht="26.25" customHeight="1" outlineLevel="1">
      <c r="A213" s="72" t="s">
        <v>74</v>
      </c>
      <c r="B213" s="72"/>
      <c r="C213" s="72">
        <f aca="true" t="shared" si="30" ref="B213:F215">C195</f>
        <v>8840.54</v>
      </c>
      <c r="D213" s="72">
        <f t="shared" si="30"/>
        <v>10048.24</v>
      </c>
      <c r="E213" s="72">
        <f t="shared" si="30"/>
        <v>-1207.699999999999</v>
      </c>
      <c r="F213" s="72">
        <f t="shared" si="30"/>
        <v>-1207.699999999999</v>
      </c>
      <c r="G213" s="53"/>
      <c r="H213" s="80"/>
      <c r="I213" s="67"/>
    </row>
    <row r="214" spans="1:9" ht="26.25" customHeight="1" outlineLevel="1">
      <c r="A214" s="72" t="s">
        <v>92</v>
      </c>
      <c r="B214" s="72"/>
      <c r="C214" s="72">
        <f t="shared" si="30"/>
        <v>23.24</v>
      </c>
      <c r="D214" s="72">
        <f t="shared" si="30"/>
        <v>5139.52</v>
      </c>
      <c r="E214" s="72">
        <f t="shared" si="30"/>
        <v>-5116.280000000001</v>
      </c>
      <c r="F214" s="72">
        <f t="shared" si="30"/>
        <v>-5116.280000000001</v>
      </c>
      <c r="G214" s="53"/>
      <c r="H214" s="80"/>
      <c r="I214" s="67"/>
    </row>
    <row r="215" spans="1:9" ht="26.25" customHeight="1" outlineLevel="1">
      <c r="A215" s="72" t="s">
        <v>76</v>
      </c>
      <c r="B215" s="72"/>
      <c r="C215" s="72">
        <f t="shared" si="30"/>
        <v>250889.45</v>
      </c>
      <c r="D215" s="72">
        <f t="shared" si="30"/>
        <v>250712.89</v>
      </c>
      <c r="E215" s="72">
        <f t="shared" si="30"/>
        <v>176.55999999999767</v>
      </c>
      <c r="F215" s="72">
        <f t="shared" si="30"/>
        <v>176.55999999999767</v>
      </c>
      <c r="G215" s="53"/>
      <c r="H215" s="80"/>
      <c r="I215" s="67"/>
    </row>
    <row r="216" spans="1:7" ht="56.25" customHeight="1" outlineLevel="1">
      <c r="A216" s="37" t="s">
        <v>21</v>
      </c>
      <c r="B216" s="37"/>
      <c r="C216" s="37" t="s">
        <v>68</v>
      </c>
      <c r="D216" s="38" t="s">
        <v>69</v>
      </c>
      <c r="E216" s="39" t="s">
        <v>24</v>
      </c>
      <c r="F216" s="39" t="s">
        <v>70</v>
      </c>
      <c r="G216" s="19" t="s">
        <v>19</v>
      </c>
    </row>
    <row r="217" spans="1:7" ht="26.25" customHeight="1" outlineLevel="1">
      <c r="A217" s="16" t="s">
        <v>42</v>
      </c>
      <c r="B217" s="20"/>
      <c r="C217" s="12" t="s">
        <v>19</v>
      </c>
      <c r="D217" s="12"/>
      <c r="E217" s="10"/>
      <c r="F217" s="10"/>
      <c r="G217" s="10"/>
    </row>
    <row r="218" spans="1:7" ht="26.25" customHeight="1" outlineLevel="1">
      <c r="A218" s="20" t="s">
        <v>0</v>
      </c>
      <c r="B218" s="20"/>
      <c r="C218" s="15">
        <v>242308.9</v>
      </c>
      <c r="D218" s="15">
        <v>245469.33</v>
      </c>
      <c r="E218" s="12">
        <f aca="true" t="shared" si="31" ref="E218:E233">C218-D218</f>
        <v>-3160.429999999993</v>
      </c>
      <c r="F218" s="12">
        <f>E218+B218</f>
        <v>-3160.429999999993</v>
      </c>
      <c r="G218" s="12">
        <f>D218</f>
        <v>245469.33</v>
      </c>
    </row>
    <row r="219" spans="1:7" ht="28.5" customHeight="1" outlineLevel="1">
      <c r="A219" s="20" t="s">
        <v>1</v>
      </c>
      <c r="B219" s="20"/>
      <c r="C219" s="15">
        <v>-11.6</v>
      </c>
      <c r="D219" s="15">
        <v>3157.54</v>
      </c>
      <c r="E219" s="12">
        <f t="shared" si="31"/>
        <v>-3169.14</v>
      </c>
      <c r="F219" s="12">
        <f>E219+B219</f>
        <v>-3169.14</v>
      </c>
      <c r="G219" s="12" t="s">
        <v>19</v>
      </c>
    </row>
    <row r="220" spans="1:9" ht="28.5" customHeight="1" outlineLevel="1">
      <c r="A220" s="30" t="s">
        <v>25</v>
      </c>
      <c r="B220" s="16"/>
      <c r="C220" s="16">
        <f>C218+C219</f>
        <v>242297.3</v>
      </c>
      <c r="D220" s="16">
        <f>D218+D219</f>
        <v>248626.87</v>
      </c>
      <c r="E220" s="16">
        <f>E218+E219</f>
        <v>-6329.569999999992</v>
      </c>
      <c r="F220" s="16">
        <f>F218+F219</f>
        <v>-6329.569999999992</v>
      </c>
      <c r="G220" s="12"/>
      <c r="I220" s="67">
        <f>F220</f>
        <v>-6329.569999999992</v>
      </c>
    </row>
    <row r="221" spans="1:7" ht="27" customHeight="1" outlineLevel="1">
      <c r="A221" s="20" t="s">
        <v>2</v>
      </c>
      <c r="B221" s="20"/>
      <c r="C221" s="15">
        <v>97196.58</v>
      </c>
      <c r="D221" s="15">
        <v>182432.62</v>
      </c>
      <c r="E221" s="12">
        <f t="shared" si="31"/>
        <v>-85236.04</v>
      </c>
      <c r="F221" s="12">
        <f>E221+B221</f>
        <v>-85236.04</v>
      </c>
      <c r="G221" s="12">
        <f>D221</f>
        <v>182432.62</v>
      </c>
    </row>
    <row r="222" spans="1:7" ht="31.5" customHeight="1" outlineLevel="1">
      <c r="A222" s="29" t="s">
        <v>95</v>
      </c>
      <c r="B222" s="20"/>
      <c r="C222" s="15">
        <v>519327.93</v>
      </c>
      <c r="D222" s="15">
        <v>518793.39</v>
      </c>
      <c r="E222" s="12">
        <f t="shared" si="31"/>
        <v>534.539999999979</v>
      </c>
      <c r="F222" s="12">
        <f>E222+B222</f>
        <v>534.539999999979</v>
      </c>
      <c r="G222" s="12" t="s">
        <v>19</v>
      </c>
    </row>
    <row r="223" spans="1:7" ht="31.5" customHeight="1" outlineLevel="1">
      <c r="A223" s="29" t="s">
        <v>93</v>
      </c>
      <c r="B223" s="20"/>
      <c r="C223" s="15">
        <v>89087.37</v>
      </c>
      <c r="D223" s="15">
        <v>89129.03</v>
      </c>
      <c r="E223" s="12">
        <f t="shared" si="31"/>
        <v>-41.66000000000349</v>
      </c>
      <c r="F223" s="12">
        <f>E223+B223</f>
        <v>-41.66000000000349</v>
      </c>
      <c r="G223" s="12"/>
    </row>
    <row r="224" spans="1:7" ht="31.5" customHeight="1" outlineLevel="1">
      <c r="A224" s="29" t="s">
        <v>98</v>
      </c>
      <c r="B224" s="20"/>
      <c r="C224" s="15">
        <v>24172.27</v>
      </c>
      <c r="D224" s="15">
        <v>35046.05</v>
      </c>
      <c r="E224" s="12">
        <f t="shared" si="31"/>
        <v>-10873.780000000002</v>
      </c>
      <c r="F224" s="12">
        <f>E224+B224</f>
        <v>-10873.780000000002</v>
      </c>
      <c r="G224" s="12"/>
    </row>
    <row r="225" spans="1:10" ht="31.5" customHeight="1" outlineLevel="1">
      <c r="A225" s="30" t="s">
        <v>26</v>
      </c>
      <c r="B225" s="16"/>
      <c r="C225" s="16">
        <f>SUM(C221:C224)</f>
        <v>729784.15</v>
      </c>
      <c r="D225" s="16">
        <f>SUM(D221:D224)</f>
        <v>825401.0900000001</v>
      </c>
      <c r="E225" s="16">
        <f>SUM(E221:E224)</f>
        <v>-95616.94000000002</v>
      </c>
      <c r="F225" s="16">
        <f>SUM(F221:F224)</f>
        <v>-95616.94000000002</v>
      </c>
      <c r="G225" s="20" t="e">
        <f>G221+G222</f>
        <v>#VALUE!</v>
      </c>
      <c r="J225" s="67">
        <f>F225</f>
        <v>-95616.94000000002</v>
      </c>
    </row>
    <row r="226" spans="1:7" ht="26.25" customHeight="1" outlineLevel="1">
      <c r="A226" s="20" t="s">
        <v>3</v>
      </c>
      <c r="B226" s="20"/>
      <c r="C226" s="15">
        <v>2005608.34</v>
      </c>
      <c r="D226" s="15">
        <v>2183654.18</v>
      </c>
      <c r="E226" s="12">
        <f t="shared" si="31"/>
        <v>-178045.84000000008</v>
      </c>
      <c r="F226" s="12">
        <f>E226+B226</f>
        <v>-178045.84000000008</v>
      </c>
      <c r="G226" s="12">
        <f>D226</f>
        <v>2183654.18</v>
      </c>
    </row>
    <row r="227" spans="1:11" ht="26.25" customHeight="1" outlineLevel="1">
      <c r="A227" s="30" t="s">
        <v>43</v>
      </c>
      <c r="B227" s="16"/>
      <c r="C227" s="16">
        <f>C226</f>
        <v>2005608.34</v>
      </c>
      <c r="D227" s="16">
        <f>D226</f>
        <v>2183654.18</v>
      </c>
      <c r="E227" s="16">
        <f>E226</f>
        <v>-178045.84000000008</v>
      </c>
      <c r="F227" s="16">
        <f>F226</f>
        <v>-178045.84000000008</v>
      </c>
      <c r="G227" s="12"/>
      <c r="K227" s="67">
        <f>F227</f>
        <v>-178045.84000000008</v>
      </c>
    </row>
    <row r="228" spans="1:7" ht="26.25" customHeight="1" outlineLevel="1">
      <c r="A228" s="20" t="s">
        <v>6</v>
      </c>
      <c r="B228" s="20"/>
      <c r="C228" s="15">
        <f>1843460.11-915.99</f>
        <v>1842544.12</v>
      </c>
      <c r="D228" s="15">
        <f>1787364.04</f>
        <v>1787364.04</v>
      </c>
      <c r="E228" s="12">
        <f t="shared" si="31"/>
        <v>55180.080000000075</v>
      </c>
      <c r="F228" s="12">
        <f aca="true" t="shared" si="32" ref="F228:F233">E228+B228</f>
        <v>55180.080000000075</v>
      </c>
      <c r="G228" s="12">
        <f>D228</f>
        <v>1787364.04</v>
      </c>
    </row>
    <row r="229" spans="1:7" ht="26.25" customHeight="1" outlineLevel="1">
      <c r="A229" s="70" t="s">
        <v>71</v>
      </c>
      <c r="B229" s="70"/>
      <c r="C229" s="71">
        <v>8174.3</v>
      </c>
      <c r="D229" s="71">
        <v>8347.7</v>
      </c>
      <c r="E229" s="84">
        <f t="shared" si="31"/>
        <v>-173.40000000000055</v>
      </c>
      <c r="F229" s="84">
        <f t="shared" si="32"/>
        <v>-173.40000000000055</v>
      </c>
      <c r="G229" s="12"/>
    </row>
    <row r="230" spans="1:7" ht="26.25" customHeight="1" outlineLevel="1">
      <c r="A230" s="70" t="s">
        <v>72</v>
      </c>
      <c r="B230" s="70"/>
      <c r="C230" s="71">
        <v>49618</v>
      </c>
      <c r="D230" s="71">
        <v>46530.6</v>
      </c>
      <c r="E230" s="84">
        <f t="shared" si="31"/>
        <v>3087.4000000000015</v>
      </c>
      <c r="F230" s="84">
        <f t="shared" si="32"/>
        <v>3087.4000000000015</v>
      </c>
      <c r="G230" s="12"/>
    </row>
    <row r="231" spans="1:7" ht="26.25" customHeight="1" outlineLevel="1">
      <c r="A231" s="70" t="s">
        <v>73</v>
      </c>
      <c r="B231" s="70"/>
      <c r="C231" s="71">
        <v>233823.54</v>
      </c>
      <c r="D231" s="71">
        <v>208402.91</v>
      </c>
      <c r="E231" s="84">
        <f t="shared" si="31"/>
        <v>25420.630000000005</v>
      </c>
      <c r="F231" s="84">
        <f t="shared" si="32"/>
        <v>25420.630000000005</v>
      </c>
      <c r="G231" s="12"/>
    </row>
    <row r="232" spans="1:7" ht="26.25" customHeight="1" outlineLevel="1">
      <c r="A232" s="20" t="s">
        <v>7</v>
      </c>
      <c r="B232" s="20"/>
      <c r="C232" s="15">
        <v>291398.88</v>
      </c>
      <c r="D232" s="15">
        <v>295379.56</v>
      </c>
      <c r="E232" s="12">
        <f t="shared" si="31"/>
        <v>-3980.679999999993</v>
      </c>
      <c r="F232" s="12">
        <f t="shared" si="32"/>
        <v>-3980.679999999993</v>
      </c>
      <c r="G232" s="12">
        <f>D232</f>
        <v>295379.56</v>
      </c>
    </row>
    <row r="233" spans="1:7" ht="31.5" customHeight="1" outlineLevel="1">
      <c r="A233" s="20" t="s">
        <v>9</v>
      </c>
      <c r="B233" s="20"/>
      <c r="C233" s="15">
        <v>47159.72</v>
      </c>
      <c r="D233" s="15">
        <v>44850.19</v>
      </c>
      <c r="E233" s="12">
        <f t="shared" si="31"/>
        <v>2309.529999999999</v>
      </c>
      <c r="F233" s="12">
        <f t="shared" si="32"/>
        <v>2309.529999999999</v>
      </c>
      <c r="G233" s="12" t="s">
        <v>19</v>
      </c>
    </row>
    <row r="234" spans="1:12" ht="42" customHeight="1">
      <c r="A234" s="30" t="s">
        <v>28</v>
      </c>
      <c r="B234" s="16"/>
      <c r="C234" s="16">
        <f>SUM(C232:C233)</f>
        <v>338558.6</v>
      </c>
      <c r="D234" s="16">
        <f>SUM(D232:D233)</f>
        <v>340229.75</v>
      </c>
      <c r="E234" s="16">
        <f>SUM(E232:E233)</f>
        <v>-1671.1499999999942</v>
      </c>
      <c r="F234" s="16">
        <f>SUM(F232:F233)</f>
        <v>-1671.1499999999942</v>
      </c>
      <c r="G234" s="17" t="e">
        <f>SUM(G218:G233)</f>
        <v>#VALUE!</v>
      </c>
      <c r="L234" s="67">
        <f>F234</f>
        <v>-1671.1499999999942</v>
      </c>
    </row>
    <row r="235" spans="1:7" ht="42" customHeight="1">
      <c r="A235" s="61" t="s">
        <v>5</v>
      </c>
      <c r="B235" s="16"/>
      <c r="C235" s="15">
        <v>54367.33</v>
      </c>
      <c r="D235" s="15">
        <v>2727.43</v>
      </c>
      <c r="E235" s="12">
        <f>C235-D235</f>
        <v>51639.9</v>
      </c>
      <c r="F235" s="12">
        <f>E235+B235</f>
        <v>51639.9</v>
      </c>
      <c r="G235" s="54"/>
    </row>
    <row r="236" spans="1:16" ht="42" customHeight="1">
      <c r="A236" s="52" t="s">
        <v>64</v>
      </c>
      <c r="B236" s="53"/>
      <c r="C236" s="53">
        <f>C220+C225+C227+C234+C228+C235+C241+C242+C243</f>
        <v>5504775.68</v>
      </c>
      <c r="D236" s="53">
        <f>D220+D225+D227+D234+D228+D235+D241+D242+D243</f>
        <v>5651284.569999999</v>
      </c>
      <c r="E236" s="53">
        <f>E220+E225+E227+E234+E228+E235+E241+E242+E243</f>
        <v>-146508.89000000004</v>
      </c>
      <c r="F236" s="53">
        <f>F220+F225+F227+F234+F228+F235+F241+F242+F243</f>
        <v>-146508.89000000004</v>
      </c>
      <c r="G236" s="54"/>
      <c r="P236" s="67"/>
    </row>
    <row r="237" spans="1:7" ht="18.75" customHeight="1">
      <c r="A237" s="52" t="s">
        <v>29</v>
      </c>
      <c r="B237" s="53"/>
      <c r="C237" s="53"/>
      <c r="D237" s="53"/>
      <c r="E237" s="53"/>
      <c r="F237" s="53"/>
      <c r="G237" s="54"/>
    </row>
    <row r="238" spans="1:7" ht="24.75" customHeight="1">
      <c r="A238" s="52" t="s">
        <v>30</v>
      </c>
      <c r="B238" s="53"/>
      <c r="C238" s="53">
        <f>C228</f>
        <v>1842544.12</v>
      </c>
      <c r="D238" s="53">
        <f>D228</f>
        <v>1787364.04</v>
      </c>
      <c r="E238" s="53">
        <f>E228</f>
        <v>55180.080000000075</v>
      </c>
      <c r="F238" s="53">
        <f>F228</f>
        <v>55180.080000000075</v>
      </c>
      <c r="G238" s="54"/>
    </row>
    <row r="239" spans="1:7" ht="27.75" customHeight="1">
      <c r="A239" s="52" t="s">
        <v>31</v>
      </c>
      <c r="B239" s="53"/>
      <c r="C239" s="53">
        <f>C220+C225+C227+C234</f>
        <v>3316248.39</v>
      </c>
      <c r="D239" s="53">
        <f>D220+D225+D227+D234</f>
        <v>3597911.89</v>
      </c>
      <c r="E239" s="53">
        <f>E220+E225+E227+E234</f>
        <v>-281663.5000000001</v>
      </c>
      <c r="F239" s="53">
        <f>F220+F225+F227+F234</f>
        <v>-281663.5000000001</v>
      </c>
      <c r="G239" s="54"/>
    </row>
    <row r="240" spans="1:7" ht="27.75" customHeight="1">
      <c r="A240" s="51" t="s">
        <v>51</v>
      </c>
      <c r="B240" s="53"/>
      <c r="C240" s="53">
        <f>C235</f>
        <v>54367.33</v>
      </c>
      <c r="D240" s="53">
        <f>D235</f>
        <v>2727.43</v>
      </c>
      <c r="E240" s="53">
        <f>E235</f>
        <v>51639.9</v>
      </c>
      <c r="F240" s="53">
        <f>F235</f>
        <v>51639.9</v>
      </c>
      <c r="G240" s="54"/>
    </row>
    <row r="241" spans="1:7" ht="27.75" customHeight="1">
      <c r="A241" s="72" t="s">
        <v>74</v>
      </c>
      <c r="B241" s="52"/>
      <c r="C241" s="52">
        <f aca="true" t="shared" si="33" ref="B241:F243">C229</f>
        <v>8174.3</v>
      </c>
      <c r="D241" s="52">
        <f t="shared" si="33"/>
        <v>8347.7</v>
      </c>
      <c r="E241" s="52">
        <f t="shared" si="33"/>
        <v>-173.40000000000055</v>
      </c>
      <c r="F241" s="52">
        <f t="shared" si="33"/>
        <v>-173.40000000000055</v>
      </c>
      <c r="G241" s="54"/>
    </row>
    <row r="242" spans="1:7" ht="27.75" customHeight="1">
      <c r="A242" s="72" t="s">
        <v>75</v>
      </c>
      <c r="B242" s="52"/>
      <c r="C242" s="52">
        <f t="shared" si="33"/>
        <v>49618</v>
      </c>
      <c r="D242" s="52">
        <f t="shared" si="33"/>
        <v>46530.6</v>
      </c>
      <c r="E242" s="52">
        <f t="shared" si="33"/>
        <v>3087.4000000000015</v>
      </c>
      <c r="F242" s="52">
        <f t="shared" si="33"/>
        <v>3087.4000000000015</v>
      </c>
      <c r="G242" s="54"/>
    </row>
    <row r="243" spans="1:7" ht="27.75" customHeight="1">
      <c r="A243" s="72" t="s">
        <v>76</v>
      </c>
      <c r="B243" s="52"/>
      <c r="C243" s="52">
        <f t="shared" si="33"/>
        <v>233823.54</v>
      </c>
      <c r="D243" s="52">
        <f t="shared" si="33"/>
        <v>208402.91</v>
      </c>
      <c r="E243" s="52">
        <f t="shared" si="33"/>
        <v>25420.630000000005</v>
      </c>
      <c r="F243" s="52">
        <f t="shared" si="33"/>
        <v>25420.630000000005</v>
      </c>
      <c r="G243" s="54"/>
    </row>
    <row r="244" spans="1:7" ht="50.25" customHeight="1" outlineLevel="1">
      <c r="A244" s="37" t="s">
        <v>21</v>
      </c>
      <c r="B244" s="37"/>
      <c r="C244" s="37" t="s">
        <v>68</v>
      </c>
      <c r="D244" s="38" t="s">
        <v>69</v>
      </c>
      <c r="E244" s="39" t="s">
        <v>24</v>
      </c>
      <c r="F244" s="39" t="s">
        <v>70</v>
      </c>
      <c r="G244" s="19" t="s">
        <v>19</v>
      </c>
    </row>
    <row r="245" spans="1:7" ht="26.25" customHeight="1" outlineLevel="1">
      <c r="A245" s="16" t="s">
        <v>44</v>
      </c>
      <c r="B245" s="20"/>
      <c r="C245" s="12"/>
      <c r="D245" s="12"/>
      <c r="E245" s="10"/>
      <c r="F245" s="10"/>
      <c r="G245" s="10"/>
    </row>
    <row r="246" spans="1:7" ht="26.25" customHeight="1" outlineLevel="1">
      <c r="A246" s="20" t="s">
        <v>0</v>
      </c>
      <c r="B246" s="20"/>
      <c r="C246" s="15">
        <v>167417.6</v>
      </c>
      <c r="D246" s="15">
        <v>165027.45</v>
      </c>
      <c r="E246" s="12">
        <f aca="true" t="shared" si="34" ref="E246:E260">C246-D246</f>
        <v>2390.149999999994</v>
      </c>
      <c r="F246" s="12">
        <f>E246+B246</f>
        <v>2390.149999999994</v>
      </c>
      <c r="G246" s="12">
        <f>D246</f>
        <v>165027.45</v>
      </c>
    </row>
    <row r="247" spans="1:7" ht="32.25" customHeight="1" outlineLevel="1">
      <c r="A247" s="20" t="s">
        <v>1</v>
      </c>
      <c r="B247" s="20"/>
      <c r="C247" s="15">
        <v>-2.6</v>
      </c>
      <c r="D247" s="15">
        <v>1535.38</v>
      </c>
      <c r="E247" s="12">
        <f t="shared" si="34"/>
        <v>-1537.98</v>
      </c>
      <c r="F247" s="12">
        <f>E247+B247</f>
        <v>-1537.98</v>
      </c>
      <c r="G247" s="12" t="s">
        <v>19</v>
      </c>
    </row>
    <row r="248" spans="1:9" ht="32.25" customHeight="1" outlineLevel="1">
      <c r="A248" s="30" t="s">
        <v>25</v>
      </c>
      <c r="B248" s="30"/>
      <c r="C248" s="30">
        <f>C246+C247</f>
        <v>167415</v>
      </c>
      <c r="D248" s="30">
        <f>D246+D247</f>
        <v>166562.83000000002</v>
      </c>
      <c r="E248" s="30">
        <f>E246+E247</f>
        <v>852.1699999999942</v>
      </c>
      <c r="F248" s="30">
        <f>F246+F247</f>
        <v>852.1699999999942</v>
      </c>
      <c r="G248" s="12"/>
      <c r="I248" s="67">
        <f>F248</f>
        <v>852.1699999999942</v>
      </c>
    </row>
    <row r="249" spans="1:7" ht="26.25" customHeight="1" outlineLevel="1">
      <c r="A249" s="20" t="s">
        <v>2</v>
      </c>
      <c r="B249" s="20"/>
      <c r="C249" s="15">
        <v>65070.46</v>
      </c>
      <c r="D249" s="15">
        <v>114129.17</v>
      </c>
      <c r="E249" s="12">
        <f t="shared" si="34"/>
        <v>-49058.71</v>
      </c>
      <c r="F249" s="12">
        <f>E249+B249</f>
        <v>-49058.71</v>
      </c>
      <c r="G249" s="12">
        <f>D249</f>
        <v>114129.17</v>
      </c>
    </row>
    <row r="250" spans="1:7" ht="26.25" customHeight="1" outlineLevel="1">
      <c r="A250" s="29" t="s">
        <v>95</v>
      </c>
      <c r="B250" s="20"/>
      <c r="C250" s="12">
        <v>351836.16</v>
      </c>
      <c r="D250" s="12">
        <v>347634.52</v>
      </c>
      <c r="E250" s="12">
        <f t="shared" si="34"/>
        <v>4201.639999999956</v>
      </c>
      <c r="F250" s="12">
        <f>E250+B250</f>
        <v>4201.639999999956</v>
      </c>
      <c r="G250" s="12" t="s">
        <v>19</v>
      </c>
    </row>
    <row r="251" spans="1:7" ht="26.25" customHeight="1" outlineLevel="1">
      <c r="A251" s="29" t="s">
        <v>93</v>
      </c>
      <c r="B251" s="20"/>
      <c r="C251" s="12">
        <v>60454.81</v>
      </c>
      <c r="D251" s="12">
        <v>60849.07</v>
      </c>
      <c r="E251" s="12">
        <f t="shared" si="34"/>
        <v>-394.26000000000204</v>
      </c>
      <c r="F251" s="12">
        <f>E251+B251</f>
        <v>-394.26000000000204</v>
      </c>
      <c r="G251" s="12"/>
    </row>
    <row r="252" spans="1:7" ht="28.5" customHeight="1" outlineLevel="1">
      <c r="A252" s="29" t="s">
        <v>98</v>
      </c>
      <c r="B252" s="20"/>
      <c r="C252" s="15">
        <v>13724.38</v>
      </c>
      <c r="D252" s="15">
        <v>18922.41</v>
      </c>
      <c r="E252" s="12">
        <f t="shared" si="34"/>
        <v>-5198.030000000001</v>
      </c>
      <c r="F252" s="12">
        <f>E252+B252</f>
        <v>-5198.030000000001</v>
      </c>
      <c r="G252" s="12" t="s">
        <v>19</v>
      </c>
    </row>
    <row r="253" spans="1:10" ht="38.25" customHeight="1" outlineLevel="1">
      <c r="A253" s="30" t="s">
        <v>26</v>
      </c>
      <c r="B253" s="16"/>
      <c r="C253" s="16">
        <f>SUM(C249:C252)</f>
        <v>491085.81</v>
      </c>
      <c r="D253" s="16">
        <f>SUM(D249:D252)</f>
        <v>541535.17</v>
      </c>
      <c r="E253" s="16">
        <f>SUM(E249:E252)</f>
        <v>-50449.360000000044</v>
      </c>
      <c r="F253" s="16">
        <f>SUM(F249:F252)</f>
        <v>-50449.360000000044</v>
      </c>
      <c r="G253" s="12"/>
      <c r="J253" s="67">
        <f>F253</f>
        <v>-50449.360000000044</v>
      </c>
    </row>
    <row r="254" spans="1:11" ht="26.25" customHeight="1" outlineLevel="1">
      <c r="A254" s="20" t="s">
        <v>3</v>
      </c>
      <c r="B254" s="20"/>
      <c r="C254" s="15">
        <v>1193345.59</v>
      </c>
      <c r="D254" s="15">
        <v>1397727.53</v>
      </c>
      <c r="E254" s="12">
        <f t="shared" si="34"/>
        <v>-204381.93999999994</v>
      </c>
      <c r="F254" s="12">
        <f aca="true" t="shared" si="35" ref="F254:F260">B254+E254</f>
        <v>-204381.93999999994</v>
      </c>
      <c r="G254" s="12">
        <f>D254</f>
        <v>1397727.53</v>
      </c>
      <c r="K254" s="67">
        <f>F254</f>
        <v>-204381.93999999994</v>
      </c>
    </row>
    <row r="255" spans="1:7" ht="26.25" customHeight="1" outlineLevel="1">
      <c r="A255" s="20" t="s">
        <v>6</v>
      </c>
      <c r="B255" s="20"/>
      <c r="C255" s="15">
        <v>1270996.59</v>
      </c>
      <c r="D255" s="15">
        <f>1225661.73-1000</f>
        <v>1224661.73</v>
      </c>
      <c r="E255" s="12">
        <f t="shared" si="34"/>
        <v>46334.8600000001</v>
      </c>
      <c r="F255" s="12">
        <f t="shared" si="35"/>
        <v>46334.8600000001</v>
      </c>
      <c r="G255" s="12">
        <f>D255</f>
        <v>1224661.73</v>
      </c>
    </row>
    <row r="256" spans="1:7" ht="26.25" customHeight="1" outlineLevel="1">
      <c r="A256" s="70" t="s">
        <v>71</v>
      </c>
      <c r="B256" s="70"/>
      <c r="C256" s="71">
        <v>6042.72</v>
      </c>
      <c r="D256" s="71">
        <v>6353.04</v>
      </c>
      <c r="E256" s="84">
        <f t="shared" si="34"/>
        <v>-310.3199999999997</v>
      </c>
      <c r="F256" s="84">
        <f t="shared" si="35"/>
        <v>-310.3199999999997</v>
      </c>
      <c r="G256" s="12"/>
    </row>
    <row r="257" spans="1:7" ht="32.25" customHeight="1" outlineLevel="1">
      <c r="A257" s="70" t="s">
        <v>72</v>
      </c>
      <c r="B257" s="70"/>
      <c r="C257" s="71">
        <v>36411.92</v>
      </c>
      <c r="D257" s="71">
        <v>34185.07</v>
      </c>
      <c r="E257" s="84">
        <f t="shared" si="34"/>
        <v>2226.8499999999985</v>
      </c>
      <c r="F257" s="84">
        <f t="shared" si="35"/>
        <v>2226.8499999999985</v>
      </c>
      <c r="G257" s="12"/>
    </row>
    <row r="258" spans="1:7" ht="30.75" customHeight="1" outlineLevel="1">
      <c r="A258" s="70" t="s">
        <v>73</v>
      </c>
      <c r="B258" s="70"/>
      <c r="C258" s="71">
        <v>158399.54</v>
      </c>
      <c r="D258" s="71">
        <v>141768.15</v>
      </c>
      <c r="E258" s="84">
        <f t="shared" si="34"/>
        <v>16631.390000000014</v>
      </c>
      <c r="F258" s="84">
        <f t="shared" si="35"/>
        <v>16631.390000000014</v>
      </c>
      <c r="G258" s="12"/>
    </row>
    <row r="259" spans="1:7" ht="26.25" customHeight="1" outlineLevel="1">
      <c r="A259" s="20" t="s">
        <v>7</v>
      </c>
      <c r="B259" s="20"/>
      <c r="C259" s="15">
        <v>201930.22</v>
      </c>
      <c r="D259" s="15">
        <v>201239.89</v>
      </c>
      <c r="E259" s="12">
        <f t="shared" si="34"/>
        <v>690.3299999999872</v>
      </c>
      <c r="F259" s="12">
        <f t="shared" si="35"/>
        <v>690.3299999999872</v>
      </c>
      <c r="G259" s="12">
        <f>D259</f>
        <v>201239.89</v>
      </c>
    </row>
    <row r="260" spans="1:7" ht="54" customHeight="1" outlineLevel="1">
      <c r="A260" s="20" t="s">
        <v>9</v>
      </c>
      <c r="B260" s="20"/>
      <c r="C260" s="15">
        <v>26244.5</v>
      </c>
      <c r="D260" s="15">
        <v>24849.19</v>
      </c>
      <c r="E260" s="12">
        <f t="shared" si="34"/>
        <v>1395.3100000000013</v>
      </c>
      <c r="F260" s="12">
        <f t="shared" si="35"/>
        <v>1395.3100000000013</v>
      </c>
      <c r="G260" s="15"/>
    </row>
    <row r="261" spans="1:12" ht="35.25" customHeight="1" outlineLevel="1">
      <c r="A261" s="30" t="s">
        <v>28</v>
      </c>
      <c r="B261" s="16"/>
      <c r="C261" s="16">
        <f>SUM(C259:C260)</f>
        <v>228174.72</v>
      </c>
      <c r="D261" s="16">
        <f>SUM(D259:D260)</f>
        <v>226089.08000000002</v>
      </c>
      <c r="E261" s="16">
        <f>SUM(E259:E260)</f>
        <v>2085.6399999999885</v>
      </c>
      <c r="F261" s="16">
        <f>SUM(F259:F260)</f>
        <v>2085.6399999999885</v>
      </c>
      <c r="G261" s="15"/>
      <c r="L261" s="67">
        <f>F261</f>
        <v>2085.6399999999885</v>
      </c>
    </row>
    <row r="262" spans="1:7" ht="35.25" customHeight="1" outlineLevel="1">
      <c r="A262" s="61" t="s">
        <v>5</v>
      </c>
      <c r="B262" s="16"/>
      <c r="C262" s="15">
        <v>26330.7</v>
      </c>
      <c r="D262" s="15">
        <v>784.53</v>
      </c>
      <c r="E262" s="12">
        <f>C262-D262</f>
        <v>25546.170000000002</v>
      </c>
      <c r="F262" s="12">
        <f>E262+B262</f>
        <v>25546.170000000002</v>
      </c>
      <c r="G262" s="15"/>
    </row>
    <row r="263" spans="1:16" ht="54" customHeight="1" outlineLevel="1">
      <c r="A263" s="52" t="s">
        <v>64</v>
      </c>
      <c r="B263" s="53"/>
      <c r="C263" s="53">
        <f>C248+C253+C254+C255+C261+C262+C268+C269+C270</f>
        <v>3578202.590000001</v>
      </c>
      <c r="D263" s="53">
        <f>D248+D253+D254+D255+D261+D262+D268+D269+D270</f>
        <v>3739667.13</v>
      </c>
      <c r="E263" s="53">
        <f>E248+E253+E254+E255+E261+E262+E268+E269+E270</f>
        <v>-161464.5399999999</v>
      </c>
      <c r="F263" s="53">
        <f>F248+F253+F254+F255+F261+F262+F268+F269+F270</f>
        <v>-161464.5399999999</v>
      </c>
      <c r="G263" s="53">
        <f>G248+G253+G254+G255+G261</f>
        <v>2622389.26</v>
      </c>
      <c r="P263" s="67"/>
    </row>
    <row r="264" spans="1:7" ht="24" customHeight="1" outlineLevel="1">
      <c r="A264" s="52" t="s">
        <v>29</v>
      </c>
      <c r="B264" s="53"/>
      <c r="C264" s="53"/>
      <c r="D264" s="53"/>
      <c r="E264" s="53"/>
      <c r="F264" s="53"/>
      <c r="G264" s="15"/>
    </row>
    <row r="265" spans="1:7" ht="26.25" customHeight="1" outlineLevel="1">
      <c r="A265" s="52" t="s">
        <v>30</v>
      </c>
      <c r="B265" s="53"/>
      <c r="C265" s="53">
        <f>C255</f>
        <v>1270996.59</v>
      </c>
      <c r="D265" s="53">
        <f>D255</f>
        <v>1224661.73</v>
      </c>
      <c r="E265" s="53">
        <f>E255</f>
        <v>46334.8600000001</v>
      </c>
      <c r="F265" s="53">
        <f>F255</f>
        <v>46334.8600000001</v>
      </c>
      <c r="G265" s="15"/>
    </row>
    <row r="266" spans="1:7" ht="23.25" customHeight="1" outlineLevel="1">
      <c r="A266" s="52" t="s">
        <v>31</v>
      </c>
      <c r="B266" s="53"/>
      <c r="C266" s="53">
        <f aca="true" t="shared" si="36" ref="B266:G266">C248+C253+C254+C261</f>
        <v>2080021.12</v>
      </c>
      <c r="D266" s="53">
        <f t="shared" si="36"/>
        <v>2331914.6100000003</v>
      </c>
      <c r="E266" s="53">
        <f t="shared" si="36"/>
        <v>-251893.49000000002</v>
      </c>
      <c r="F266" s="53">
        <f t="shared" si="36"/>
        <v>-251893.49000000002</v>
      </c>
      <c r="G266" s="53">
        <f t="shared" si="36"/>
        <v>1397727.53</v>
      </c>
    </row>
    <row r="267" spans="1:7" ht="23.25" customHeight="1" outlineLevel="1">
      <c r="A267" s="51" t="s">
        <v>51</v>
      </c>
      <c r="B267" s="53"/>
      <c r="C267" s="53">
        <f>C262</f>
        <v>26330.7</v>
      </c>
      <c r="D267" s="53">
        <f>D262</f>
        <v>784.53</v>
      </c>
      <c r="E267" s="53">
        <f>E262</f>
        <v>25546.170000000002</v>
      </c>
      <c r="F267" s="53">
        <f>F262</f>
        <v>25546.170000000002</v>
      </c>
      <c r="G267" s="53"/>
    </row>
    <row r="268" spans="1:7" ht="23.25" customHeight="1" outlineLevel="1">
      <c r="A268" s="72" t="s">
        <v>74</v>
      </c>
      <c r="B268" s="52"/>
      <c r="C268" s="52">
        <f aca="true" t="shared" si="37" ref="B268:F270">C256</f>
        <v>6042.72</v>
      </c>
      <c r="D268" s="52">
        <f t="shared" si="37"/>
        <v>6353.04</v>
      </c>
      <c r="E268" s="52">
        <f t="shared" si="37"/>
        <v>-310.3199999999997</v>
      </c>
      <c r="F268" s="52">
        <f t="shared" si="37"/>
        <v>-310.3199999999997</v>
      </c>
      <c r="G268" s="53"/>
    </row>
    <row r="269" spans="1:7" ht="33" customHeight="1" outlineLevel="1">
      <c r="A269" s="72" t="s">
        <v>75</v>
      </c>
      <c r="B269" s="52"/>
      <c r="C269" s="52">
        <f t="shared" si="37"/>
        <v>36411.92</v>
      </c>
      <c r="D269" s="52">
        <f t="shared" si="37"/>
        <v>34185.07</v>
      </c>
      <c r="E269" s="52">
        <f t="shared" si="37"/>
        <v>2226.8499999999985</v>
      </c>
      <c r="F269" s="52">
        <f t="shared" si="37"/>
        <v>2226.8499999999985</v>
      </c>
      <c r="G269" s="53"/>
    </row>
    <row r="270" spans="1:7" ht="23.25" customHeight="1" outlineLevel="1">
      <c r="A270" s="72" t="s">
        <v>76</v>
      </c>
      <c r="B270" s="52"/>
      <c r="C270" s="52">
        <f t="shared" si="37"/>
        <v>158399.54</v>
      </c>
      <c r="D270" s="52">
        <f t="shared" si="37"/>
        <v>141768.15</v>
      </c>
      <c r="E270" s="52">
        <f t="shared" si="37"/>
        <v>16631.390000000014</v>
      </c>
      <c r="F270" s="52">
        <f t="shared" si="37"/>
        <v>16631.390000000014</v>
      </c>
      <c r="G270" s="53"/>
    </row>
    <row r="271" spans="1:7" ht="51.75" customHeight="1" outlineLevel="1">
      <c r="A271" s="37" t="s">
        <v>21</v>
      </c>
      <c r="B271" s="37"/>
      <c r="C271" s="37" t="s">
        <v>68</v>
      </c>
      <c r="D271" s="38" t="s">
        <v>69</v>
      </c>
      <c r="E271" s="39" t="s">
        <v>24</v>
      </c>
      <c r="F271" s="39" t="s">
        <v>70</v>
      </c>
      <c r="G271" s="19" t="s">
        <v>19</v>
      </c>
    </row>
    <row r="272" spans="1:7" ht="26.25" customHeight="1" outlineLevel="1">
      <c r="A272" s="16" t="s">
        <v>45</v>
      </c>
      <c r="B272" s="29"/>
      <c r="C272" s="12"/>
      <c r="D272" s="12"/>
      <c r="E272" s="10"/>
      <c r="F272" s="10"/>
      <c r="G272" s="10"/>
    </row>
    <row r="273" spans="1:7" ht="26.25" customHeight="1" outlineLevel="1">
      <c r="A273" s="29" t="s">
        <v>0</v>
      </c>
      <c r="B273" s="29"/>
      <c r="C273" s="15">
        <v>199082.06</v>
      </c>
      <c r="D273" s="15">
        <v>202034.44</v>
      </c>
      <c r="E273" s="12">
        <f aca="true" t="shared" si="38" ref="E273:E281">C273-D273</f>
        <v>-2952.3800000000047</v>
      </c>
      <c r="F273" s="12">
        <f>E273+B273</f>
        <v>-2952.3800000000047</v>
      </c>
      <c r="G273" s="12">
        <f>D273</f>
        <v>202034.44</v>
      </c>
    </row>
    <row r="274" spans="1:7" ht="26.25" customHeight="1" outlineLevel="1">
      <c r="A274" s="29" t="s">
        <v>1</v>
      </c>
      <c r="B274" s="29"/>
      <c r="C274" s="15">
        <v>-19.2</v>
      </c>
      <c r="D274" s="15">
        <v>2798.44</v>
      </c>
      <c r="E274" s="12">
        <f t="shared" si="38"/>
        <v>-2817.64</v>
      </c>
      <c r="F274" s="12">
        <f>E274+B274</f>
        <v>-2817.64</v>
      </c>
      <c r="G274" s="12" t="s">
        <v>19</v>
      </c>
    </row>
    <row r="275" spans="1:9" ht="26.25" customHeight="1" outlineLevel="1">
      <c r="A275" s="30" t="s">
        <v>25</v>
      </c>
      <c r="B275" s="30"/>
      <c r="C275" s="30">
        <f>C273+C274</f>
        <v>199062.86</v>
      </c>
      <c r="D275" s="30">
        <f>D273+D274</f>
        <v>204832.88</v>
      </c>
      <c r="E275" s="30">
        <f>E273+E274</f>
        <v>-5770.020000000004</v>
      </c>
      <c r="F275" s="30">
        <f>F273+F274</f>
        <v>-5770.020000000004</v>
      </c>
      <c r="G275" s="12"/>
      <c r="I275" s="67">
        <f>F275</f>
        <v>-5770.020000000004</v>
      </c>
    </row>
    <row r="276" spans="1:11" ht="26.25" customHeight="1" outlineLevel="1">
      <c r="A276" s="29" t="s">
        <v>3</v>
      </c>
      <c r="B276" s="29"/>
      <c r="C276" s="15">
        <v>886181.59</v>
      </c>
      <c r="D276" s="15">
        <v>1038150.11</v>
      </c>
      <c r="E276" s="12">
        <f t="shared" si="38"/>
        <v>-151968.52000000002</v>
      </c>
      <c r="F276" s="12">
        <f aca="true" t="shared" si="39" ref="F276:F281">E276+B276</f>
        <v>-151968.52000000002</v>
      </c>
      <c r="G276" s="12">
        <f>D276</f>
        <v>1038150.11</v>
      </c>
      <c r="K276" s="67">
        <f>F276</f>
        <v>-151968.52000000002</v>
      </c>
    </row>
    <row r="277" spans="1:7" ht="26.25" customHeight="1" outlineLevel="1">
      <c r="A277" s="29" t="s">
        <v>6</v>
      </c>
      <c r="B277" s="29"/>
      <c r="C277" s="15">
        <v>915048</v>
      </c>
      <c r="D277" s="15">
        <v>898129.81</v>
      </c>
      <c r="E277" s="12">
        <f t="shared" si="38"/>
        <v>16918.189999999944</v>
      </c>
      <c r="F277" s="12">
        <f t="shared" si="39"/>
        <v>16918.189999999944</v>
      </c>
      <c r="G277" s="12">
        <f>D277</f>
        <v>898129.81</v>
      </c>
    </row>
    <row r="278" spans="1:7" ht="26.25" customHeight="1" outlineLevel="1">
      <c r="A278" s="70" t="s">
        <v>71</v>
      </c>
      <c r="B278" s="73"/>
      <c r="C278" s="71">
        <v>3885.7</v>
      </c>
      <c r="D278" s="71">
        <v>3785.28</v>
      </c>
      <c r="E278" s="84">
        <f t="shared" si="38"/>
        <v>100.41999999999962</v>
      </c>
      <c r="F278" s="84">
        <f t="shared" si="39"/>
        <v>100.41999999999962</v>
      </c>
      <c r="G278" s="12"/>
    </row>
    <row r="279" spans="1:7" ht="26.25" customHeight="1" outlineLevel="1">
      <c r="A279" s="70" t="s">
        <v>73</v>
      </c>
      <c r="B279" s="73"/>
      <c r="C279" s="71">
        <v>27997.2</v>
      </c>
      <c r="D279" s="71">
        <v>24764.78</v>
      </c>
      <c r="E279" s="84">
        <f t="shared" si="38"/>
        <v>3232.420000000002</v>
      </c>
      <c r="F279" s="84">
        <f t="shared" si="39"/>
        <v>3232.420000000002</v>
      </c>
      <c r="G279" s="12"/>
    </row>
    <row r="280" spans="1:7" ht="26.25" customHeight="1" outlineLevel="1">
      <c r="A280" s="29" t="s">
        <v>7</v>
      </c>
      <c r="B280" s="29"/>
      <c r="C280" s="15">
        <v>369512.41</v>
      </c>
      <c r="D280" s="15">
        <v>372474.31</v>
      </c>
      <c r="E280" s="12">
        <f t="shared" si="38"/>
        <v>-2961.9000000000233</v>
      </c>
      <c r="F280" s="12">
        <f t="shared" si="39"/>
        <v>-2961.9000000000233</v>
      </c>
      <c r="G280" s="12">
        <f>D280</f>
        <v>372474.31</v>
      </c>
    </row>
    <row r="281" spans="1:7" ht="40.5" customHeight="1" outlineLevel="1">
      <c r="A281" s="29" t="s">
        <v>9</v>
      </c>
      <c r="B281" s="29"/>
      <c r="C281" s="15">
        <v>66038.94</v>
      </c>
      <c r="D281" s="15">
        <v>61605.97</v>
      </c>
      <c r="E281" s="12">
        <f t="shared" si="38"/>
        <v>4432.970000000001</v>
      </c>
      <c r="F281" s="12">
        <f t="shared" si="39"/>
        <v>4432.970000000001</v>
      </c>
      <c r="G281" s="15"/>
    </row>
    <row r="282" spans="1:12" ht="40.5" customHeight="1" outlineLevel="1">
      <c r="A282" s="30" t="s">
        <v>28</v>
      </c>
      <c r="B282" s="30"/>
      <c r="C282" s="30">
        <f>SUM(C280:C281)</f>
        <v>435551.35</v>
      </c>
      <c r="D282" s="30">
        <f>SUM(D280:D281)</f>
        <v>434080.28</v>
      </c>
      <c r="E282" s="30">
        <f>SUM(E280:E281)</f>
        <v>1471.0699999999779</v>
      </c>
      <c r="F282" s="30">
        <f>SUM(F280:F281)</f>
        <v>1471.0699999999779</v>
      </c>
      <c r="G282" s="15"/>
      <c r="L282" s="67">
        <f>F282</f>
        <v>1471.0699999999779</v>
      </c>
    </row>
    <row r="283" spans="1:7" ht="40.5" customHeight="1" outlineLevel="1">
      <c r="A283" s="61" t="s">
        <v>5</v>
      </c>
      <c r="B283" s="16"/>
      <c r="C283" s="15">
        <v>20633.21</v>
      </c>
      <c r="D283" s="15">
        <v>1735.37</v>
      </c>
      <c r="E283" s="12">
        <f>C283-D283</f>
        <v>18897.84</v>
      </c>
      <c r="F283" s="12">
        <f>E283+B283</f>
        <v>18897.84</v>
      </c>
      <c r="G283" s="15"/>
    </row>
    <row r="284" spans="1:16" ht="40.5" customHeight="1" outlineLevel="1">
      <c r="A284" s="52" t="s">
        <v>64</v>
      </c>
      <c r="B284" s="53"/>
      <c r="C284" s="53">
        <f>C275+C276+C277+C282+C283+C289+C290</f>
        <v>2488359.91</v>
      </c>
      <c r="D284" s="53">
        <f>D275+D276+D277+D282+D283+D289+D290</f>
        <v>2605478.51</v>
      </c>
      <c r="E284" s="53">
        <f>E275+E276+E277+E282+E283+E289+E290</f>
        <v>-117118.60000000012</v>
      </c>
      <c r="F284" s="53">
        <f>F275+F276+F277+F282+F283+F289+F290</f>
        <v>-117118.60000000012</v>
      </c>
      <c r="G284" s="15"/>
      <c r="P284" s="67"/>
    </row>
    <row r="285" spans="1:7" ht="18" customHeight="1" outlineLevel="1">
      <c r="A285" s="52" t="s">
        <v>29</v>
      </c>
      <c r="B285" s="53"/>
      <c r="C285" s="53"/>
      <c r="D285" s="53"/>
      <c r="E285" s="53"/>
      <c r="F285" s="53"/>
      <c r="G285" s="15"/>
    </row>
    <row r="286" spans="1:7" ht="40.5" customHeight="1" outlineLevel="1">
      <c r="A286" s="52" t="s">
        <v>30</v>
      </c>
      <c r="B286" s="53"/>
      <c r="C286" s="53">
        <f>C277</f>
        <v>915048</v>
      </c>
      <c r="D286" s="53">
        <f>D277</f>
        <v>898129.81</v>
      </c>
      <c r="E286" s="53">
        <f>E277</f>
        <v>16918.189999999944</v>
      </c>
      <c r="F286" s="53">
        <f>F277</f>
        <v>16918.189999999944</v>
      </c>
      <c r="G286" s="15"/>
    </row>
    <row r="287" spans="1:7" ht="40.5" customHeight="1" outlineLevel="1">
      <c r="A287" s="52" t="s">
        <v>31</v>
      </c>
      <c r="B287" s="53"/>
      <c r="C287" s="53">
        <f>C275+C276+C282</f>
        <v>1520795.7999999998</v>
      </c>
      <c r="D287" s="53">
        <f>D275+D276+D282</f>
        <v>1677063.27</v>
      </c>
      <c r="E287" s="53">
        <f>E275+E276+E282</f>
        <v>-156267.47000000006</v>
      </c>
      <c r="F287" s="53">
        <f>F275+F276+F282</f>
        <v>-156267.47000000006</v>
      </c>
      <c r="G287" s="15"/>
    </row>
    <row r="288" spans="1:7" ht="40.5" customHeight="1" outlineLevel="1">
      <c r="A288" s="51" t="s">
        <v>51</v>
      </c>
      <c r="B288" s="53"/>
      <c r="C288" s="53">
        <f>C283</f>
        <v>20633.21</v>
      </c>
      <c r="D288" s="53">
        <f>D283</f>
        <v>1735.37</v>
      </c>
      <c r="E288" s="53">
        <f>E283</f>
        <v>18897.84</v>
      </c>
      <c r="F288" s="53">
        <f>F283</f>
        <v>18897.84</v>
      </c>
      <c r="G288" s="15"/>
    </row>
    <row r="289" spans="1:7" ht="40.5" customHeight="1" outlineLevel="1">
      <c r="A289" s="72" t="s">
        <v>74</v>
      </c>
      <c r="B289" s="72"/>
      <c r="C289" s="72">
        <f aca="true" t="shared" si="40" ref="B289:F290">C278</f>
        <v>3885.7</v>
      </c>
      <c r="D289" s="72">
        <f t="shared" si="40"/>
        <v>3785.28</v>
      </c>
      <c r="E289" s="72">
        <f t="shared" si="40"/>
        <v>100.41999999999962</v>
      </c>
      <c r="F289" s="72">
        <f t="shared" si="40"/>
        <v>100.41999999999962</v>
      </c>
      <c r="G289" s="15"/>
    </row>
    <row r="290" spans="1:7" ht="40.5" customHeight="1" outlineLevel="1">
      <c r="A290" s="72" t="s">
        <v>76</v>
      </c>
      <c r="B290" s="72"/>
      <c r="C290" s="72">
        <f t="shared" si="40"/>
        <v>27997.2</v>
      </c>
      <c r="D290" s="72">
        <f t="shared" si="40"/>
        <v>24764.78</v>
      </c>
      <c r="E290" s="72">
        <f t="shared" si="40"/>
        <v>3232.420000000002</v>
      </c>
      <c r="F290" s="72">
        <f t="shared" si="40"/>
        <v>3232.420000000002</v>
      </c>
      <c r="G290" s="15"/>
    </row>
    <row r="291" spans="1:7" ht="48" customHeight="1" outlineLevel="1">
      <c r="A291" s="37" t="s">
        <v>21</v>
      </c>
      <c r="B291" s="37"/>
      <c r="C291" s="37" t="s">
        <v>68</v>
      </c>
      <c r="D291" s="38" t="s">
        <v>69</v>
      </c>
      <c r="E291" s="39" t="s">
        <v>24</v>
      </c>
      <c r="F291" s="39" t="s">
        <v>70</v>
      </c>
      <c r="G291" s="19" t="s">
        <v>19</v>
      </c>
    </row>
    <row r="292" spans="1:7" ht="26.25" customHeight="1" outlineLevel="1">
      <c r="A292" s="16" t="s">
        <v>46</v>
      </c>
      <c r="B292" s="20"/>
      <c r="C292" s="12"/>
      <c r="D292" s="12"/>
      <c r="E292" s="10"/>
      <c r="F292" s="10"/>
      <c r="G292" s="10"/>
    </row>
    <row r="293" spans="1:7" ht="26.25" customHeight="1" outlineLevel="1">
      <c r="A293" s="29" t="s">
        <v>0</v>
      </c>
      <c r="B293" s="29"/>
      <c r="C293" s="15">
        <v>167190.17</v>
      </c>
      <c r="D293" s="15">
        <v>155105.56</v>
      </c>
      <c r="E293" s="12">
        <f aca="true" t="shared" si="41" ref="E293:E303">C293-D293</f>
        <v>12084.610000000015</v>
      </c>
      <c r="F293" s="12">
        <f>B293+E293</f>
        <v>12084.610000000015</v>
      </c>
      <c r="G293" s="12">
        <f>D293</f>
        <v>155105.56</v>
      </c>
    </row>
    <row r="294" spans="1:7" ht="26.25" customHeight="1" outlineLevel="1">
      <c r="A294" s="29" t="s">
        <v>1</v>
      </c>
      <c r="B294" s="29"/>
      <c r="C294" s="15"/>
      <c r="D294" s="15">
        <v>2204.5</v>
      </c>
      <c r="E294" s="12">
        <f t="shared" si="41"/>
        <v>-2204.5</v>
      </c>
      <c r="F294" s="12">
        <f>B294+E294</f>
        <v>-2204.5</v>
      </c>
      <c r="G294" s="12" t="s">
        <v>19</v>
      </c>
    </row>
    <row r="295" spans="1:9" ht="26.25" customHeight="1" outlineLevel="1">
      <c r="A295" s="30" t="s">
        <v>25</v>
      </c>
      <c r="B295" s="30"/>
      <c r="C295" s="30">
        <f>C293+C294</f>
        <v>167190.17</v>
      </c>
      <c r="D295" s="30">
        <f>D293+D294</f>
        <v>157310.06</v>
      </c>
      <c r="E295" s="30">
        <f>E293+E294</f>
        <v>9880.110000000015</v>
      </c>
      <c r="F295" s="30">
        <f>F293+F294</f>
        <v>9880.110000000015</v>
      </c>
      <c r="G295" s="12"/>
      <c r="I295" s="67">
        <f>F295</f>
        <v>9880.110000000015</v>
      </c>
    </row>
    <row r="296" spans="1:7" ht="26.25" customHeight="1" outlineLevel="1">
      <c r="A296" s="29" t="s">
        <v>3</v>
      </c>
      <c r="B296" s="29"/>
      <c r="C296" s="29">
        <v>1038255.3</v>
      </c>
      <c r="D296" s="29">
        <v>1101345.64</v>
      </c>
      <c r="E296" s="12">
        <f>C296-D296</f>
        <v>-63090.33999999985</v>
      </c>
      <c r="F296" s="12">
        <f>B296+E296</f>
        <v>-63090.33999999985</v>
      </c>
      <c r="G296" s="12">
        <f>D296</f>
        <v>1101345.64</v>
      </c>
    </row>
    <row r="297" spans="1:11" ht="26.25" customHeight="1" outlineLevel="1">
      <c r="A297" s="30" t="s">
        <v>43</v>
      </c>
      <c r="B297" s="30"/>
      <c r="C297" s="30">
        <f>SUM(C296)</f>
        <v>1038255.3</v>
      </c>
      <c r="D297" s="30">
        <f>SUM(D296)</f>
        <v>1101345.64</v>
      </c>
      <c r="E297" s="30">
        <f>SUM(E296)</f>
        <v>-63090.33999999985</v>
      </c>
      <c r="F297" s="30">
        <f>SUM(F296)</f>
        <v>-63090.33999999985</v>
      </c>
      <c r="G297" s="12"/>
      <c r="K297" s="67">
        <f>F297</f>
        <v>-63090.33999999985</v>
      </c>
    </row>
    <row r="298" spans="1:7" ht="26.25" customHeight="1" outlineLevel="1">
      <c r="A298" s="29" t="s">
        <v>6</v>
      </c>
      <c r="B298" s="29"/>
      <c r="C298" s="15">
        <v>661731.57</v>
      </c>
      <c r="D298" s="15">
        <v>622081.8</v>
      </c>
      <c r="E298" s="12">
        <f t="shared" si="41"/>
        <v>39649.7699999999</v>
      </c>
      <c r="F298" s="12">
        <f aca="true" t="shared" si="42" ref="F298:F303">B298+E298</f>
        <v>39649.7699999999</v>
      </c>
      <c r="G298" s="12">
        <f>D298</f>
        <v>622081.8</v>
      </c>
    </row>
    <row r="299" spans="1:7" ht="26.25" customHeight="1" outlineLevel="1">
      <c r="A299" s="70" t="s">
        <v>71</v>
      </c>
      <c r="B299" s="73"/>
      <c r="C299" s="71">
        <v>8060.92</v>
      </c>
      <c r="D299" s="71">
        <v>6727.9</v>
      </c>
      <c r="E299" s="84">
        <f t="shared" si="41"/>
        <v>1333.0200000000004</v>
      </c>
      <c r="F299" s="84">
        <f t="shared" si="42"/>
        <v>1333.0200000000004</v>
      </c>
      <c r="G299" s="12"/>
    </row>
    <row r="300" spans="1:7" ht="26.25" customHeight="1" outlineLevel="1">
      <c r="A300" s="70" t="s">
        <v>73</v>
      </c>
      <c r="B300" s="73"/>
      <c r="C300" s="71">
        <v>25280.19</v>
      </c>
      <c r="D300" s="71">
        <v>21727.47</v>
      </c>
      <c r="E300" s="84">
        <f t="shared" si="41"/>
        <v>3552.7199999999975</v>
      </c>
      <c r="F300" s="84">
        <f t="shared" si="42"/>
        <v>3552.7199999999975</v>
      </c>
      <c r="G300" s="12"/>
    </row>
    <row r="301" spans="1:7" ht="26.25" customHeight="1" outlineLevel="1">
      <c r="A301" s="29" t="s">
        <v>7</v>
      </c>
      <c r="B301" s="29"/>
      <c r="C301" s="15">
        <v>310311.7</v>
      </c>
      <c r="D301" s="15">
        <v>287548.35</v>
      </c>
      <c r="E301" s="12">
        <f t="shared" si="41"/>
        <v>22763.350000000035</v>
      </c>
      <c r="F301" s="12">
        <f t="shared" si="42"/>
        <v>22763.350000000035</v>
      </c>
      <c r="G301" s="12">
        <f>D301</f>
        <v>287548.35</v>
      </c>
    </row>
    <row r="302" spans="1:7" ht="36" customHeight="1" outlineLevel="1">
      <c r="A302" s="29" t="s">
        <v>18</v>
      </c>
      <c r="B302" s="29"/>
      <c r="C302" s="15"/>
      <c r="D302" s="15">
        <v>34.91</v>
      </c>
      <c r="E302" s="12">
        <f t="shared" si="41"/>
        <v>-34.91</v>
      </c>
      <c r="F302" s="12">
        <f t="shared" si="42"/>
        <v>-34.91</v>
      </c>
      <c r="G302" s="12" t="s">
        <v>19</v>
      </c>
    </row>
    <row r="303" spans="1:7" ht="36" customHeight="1" outlineLevel="1">
      <c r="A303" s="29" t="s">
        <v>9</v>
      </c>
      <c r="B303" s="29"/>
      <c r="C303" s="15">
        <v>69259.62</v>
      </c>
      <c r="D303" s="15">
        <v>52512.39</v>
      </c>
      <c r="E303" s="12">
        <f t="shared" si="41"/>
        <v>16747.229999999996</v>
      </c>
      <c r="F303" s="12">
        <f t="shared" si="42"/>
        <v>16747.229999999996</v>
      </c>
      <c r="G303" s="12" t="s">
        <v>19</v>
      </c>
    </row>
    <row r="304" spans="1:12" ht="38.25" customHeight="1" outlineLevel="1">
      <c r="A304" s="30" t="s">
        <v>28</v>
      </c>
      <c r="B304" s="30"/>
      <c r="C304" s="30">
        <f>SUM(C301:C303)</f>
        <v>379571.32</v>
      </c>
      <c r="D304" s="30">
        <f>SUM(D301:D303)</f>
        <v>340095.64999999997</v>
      </c>
      <c r="E304" s="30">
        <f>SUM(E301:E303)</f>
        <v>39475.67000000003</v>
      </c>
      <c r="F304" s="30">
        <f>SUM(F301:F303)</f>
        <v>39475.67000000003</v>
      </c>
      <c r="G304" s="17">
        <f>SUM(G293:G303)</f>
        <v>2166081.35</v>
      </c>
      <c r="L304" s="67">
        <f>F304</f>
        <v>39475.67000000003</v>
      </c>
    </row>
    <row r="305" spans="1:7" ht="26.25" customHeight="1" hidden="1">
      <c r="A305" s="23" t="s">
        <v>20</v>
      </c>
      <c r="B305" s="23"/>
      <c r="C305" s="24">
        <v>95225552.07</v>
      </c>
      <c r="D305" s="25">
        <v>94489825.79</v>
      </c>
      <c r="E305" s="10"/>
      <c r="F305" s="10"/>
      <c r="G305" s="10"/>
    </row>
    <row r="306" spans="1:7" ht="26.25" customHeight="1">
      <c r="A306" s="61" t="s">
        <v>5</v>
      </c>
      <c r="B306" s="16"/>
      <c r="C306" s="15">
        <v>55491.19</v>
      </c>
      <c r="D306" s="15">
        <v>372.77</v>
      </c>
      <c r="E306" s="12">
        <f>C306-D306</f>
        <v>55118.420000000006</v>
      </c>
      <c r="F306" s="12">
        <f>E306+B306</f>
        <v>55118.420000000006</v>
      </c>
      <c r="G306" s="62"/>
    </row>
    <row r="307" spans="1:16" ht="45" customHeight="1">
      <c r="A307" s="52" t="s">
        <v>64</v>
      </c>
      <c r="B307" s="53"/>
      <c r="C307" s="53">
        <f>C295+C297+C298+C304+C306+C312+C313</f>
        <v>2335580.6599999997</v>
      </c>
      <c r="D307" s="53">
        <f>D295+D297+D298+D304+D306+D312+D313</f>
        <v>2249661.29</v>
      </c>
      <c r="E307" s="53">
        <f>E295+E297+E298+E304+E306+E312+E313</f>
        <v>85919.3700000001</v>
      </c>
      <c r="F307" s="53">
        <f>F295+F297+F298+F304+F306+F312+F313</f>
        <v>85919.3700000001</v>
      </c>
      <c r="G307" s="27"/>
      <c r="P307" s="67"/>
    </row>
    <row r="308" spans="1:7" ht="26.25" customHeight="1">
      <c r="A308" s="52" t="s">
        <v>29</v>
      </c>
      <c r="B308" s="53"/>
      <c r="C308" s="53"/>
      <c r="D308" s="53"/>
      <c r="E308" s="53"/>
      <c r="F308" s="53"/>
      <c r="G308" s="26"/>
    </row>
    <row r="309" spans="1:7" ht="26.25" customHeight="1">
      <c r="A309" s="52" t="s">
        <v>30</v>
      </c>
      <c r="B309" s="53"/>
      <c r="C309" s="53">
        <f>C298</f>
        <v>661731.57</v>
      </c>
      <c r="D309" s="53">
        <f>D298</f>
        <v>622081.8</v>
      </c>
      <c r="E309" s="53">
        <f>E298</f>
        <v>39649.7699999999</v>
      </c>
      <c r="F309" s="53">
        <f>F298</f>
        <v>39649.7699999999</v>
      </c>
      <c r="G309" s="26"/>
    </row>
    <row r="310" spans="1:7" ht="26.25" customHeight="1">
      <c r="A310" s="52" t="s">
        <v>31</v>
      </c>
      <c r="B310" s="53"/>
      <c r="C310" s="53">
        <f>C295+C297+C304</f>
        <v>1585016.79</v>
      </c>
      <c r="D310" s="53">
        <f>D295+D297+D304</f>
        <v>1598751.3499999999</v>
      </c>
      <c r="E310" s="53">
        <f>E295+E297+E304</f>
        <v>-13734.559999999808</v>
      </c>
      <c r="F310" s="53">
        <f>F295+F297+F304</f>
        <v>-13734.559999999808</v>
      </c>
      <c r="G310" s="26"/>
    </row>
    <row r="311" spans="1:7" ht="26.25" customHeight="1">
      <c r="A311" s="51" t="s">
        <v>51</v>
      </c>
      <c r="B311" s="53"/>
      <c r="C311" s="53">
        <f>C306</f>
        <v>55491.19</v>
      </c>
      <c r="D311" s="53">
        <f>D306</f>
        <v>372.77</v>
      </c>
      <c r="E311" s="53">
        <f>E306</f>
        <v>55118.420000000006</v>
      </c>
      <c r="F311" s="53">
        <f>F306</f>
        <v>55118.420000000006</v>
      </c>
      <c r="G311" s="26"/>
    </row>
    <row r="312" spans="1:7" ht="26.25" customHeight="1">
      <c r="A312" s="72" t="s">
        <v>74</v>
      </c>
      <c r="B312" s="72"/>
      <c r="C312" s="72">
        <f aca="true" t="shared" si="43" ref="B312:F313">C299</f>
        <v>8060.92</v>
      </c>
      <c r="D312" s="72">
        <f t="shared" si="43"/>
        <v>6727.9</v>
      </c>
      <c r="E312" s="72">
        <f t="shared" si="43"/>
        <v>1333.0200000000004</v>
      </c>
      <c r="F312" s="72">
        <f t="shared" si="43"/>
        <v>1333.0200000000004</v>
      </c>
      <c r="G312" s="26"/>
    </row>
    <row r="313" spans="1:7" ht="26.25" customHeight="1">
      <c r="A313" s="72" t="s">
        <v>76</v>
      </c>
      <c r="B313" s="72"/>
      <c r="C313" s="72">
        <f t="shared" si="43"/>
        <v>25280.19</v>
      </c>
      <c r="D313" s="72">
        <f t="shared" si="43"/>
        <v>21727.47</v>
      </c>
      <c r="E313" s="72">
        <f t="shared" si="43"/>
        <v>3552.7199999999975</v>
      </c>
      <c r="F313" s="72">
        <f t="shared" si="43"/>
        <v>3552.7199999999975</v>
      </c>
      <c r="G313" s="26"/>
    </row>
    <row r="314" spans="1:7" ht="63" customHeight="1">
      <c r="A314" s="37" t="s">
        <v>21</v>
      </c>
      <c r="B314" s="37"/>
      <c r="C314" s="37" t="s">
        <v>68</v>
      </c>
      <c r="D314" s="38" t="s">
        <v>69</v>
      </c>
      <c r="E314" s="39" t="s">
        <v>24</v>
      </c>
      <c r="F314" s="39" t="s">
        <v>70</v>
      </c>
      <c r="G314" s="26" t="e">
        <f>G24+G60+#REF!+#REF!+G95+G121+G146+G175+#REF!+#REF!+G208+G236+G263+G284+G307</f>
        <v>#VALUE!</v>
      </c>
    </row>
    <row r="315" spans="1:7" ht="26.25" customHeight="1">
      <c r="A315" s="16" t="s">
        <v>47</v>
      </c>
      <c r="B315" s="20"/>
      <c r="C315" s="12"/>
      <c r="D315" s="12"/>
      <c r="E315" s="10"/>
      <c r="F315" s="10"/>
      <c r="G315" s="26"/>
    </row>
    <row r="316" spans="1:7" ht="26.25" customHeight="1">
      <c r="A316" s="29" t="s">
        <v>0</v>
      </c>
      <c r="B316" s="29"/>
      <c r="C316" s="15">
        <f>315786.17-14895.75-8398.58</f>
        <v>292491.83999999997</v>
      </c>
      <c r="D316" s="15">
        <v>280489.4</v>
      </c>
      <c r="E316" s="12">
        <f>C316-D316</f>
        <v>12002.439999999944</v>
      </c>
      <c r="F316" s="12">
        <f>B316+E316</f>
        <v>12002.439999999944</v>
      </c>
      <c r="G316" s="26"/>
    </row>
    <row r="317" spans="1:7" ht="26.25" customHeight="1">
      <c r="A317" s="29" t="s">
        <v>1</v>
      </c>
      <c r="B317" s="29"/>
      <c r="C317" s="15">
        <f>8069.38-(2154.3+5729.97)</f>
        <v>185.10999999999967</v>
      </c>
      <c r="D317" s="15">
        <v>1103.17</v>
      </c>
      <c r="E317" s="12">
        <f>C317-D317</f>
        <v>-918.0600000000004</v>
      </c>
      <c r="F317" s="12">
        <f>B317+E317</f>
        <v>-918.0600000000004</v>
      </c>
      <c r="G317" s="26"/>
    </row>
    <row r="318" spans="1:9" ht="26.25" customHeight="1">
      <c r="A318" s="30" t="s">
        <v>25</v>
      </c>
      <c r="B318" s="30"/>
      <c r="C318" s="30">
        <f>C316+C317</f>
        <v>292676.94999999995</v>
      </c>
      <c r="D318" s="30">
        <f>D316+D317</f>
        <v>281592.57</v>
      </c>
      <c r="E318" s="30">
        <f>E316+E317</f>
        <v>11084.379999999943</v>
      </c>
      <c r="F318" s="30">
        <f>F316+F317</f>
        <v>11084.379999999943</v>
      </c>
      <c r="G318" s="26"/>
      <c r="I318" s="67">
        <f>F318</f>
        <v>11084.379999999943</v>
      </c>
    </row>
    <row r="319" spans="1:11" ht="26.25" customHeight="1">
      <c r="A319" s="29" t="s">
        <v>3</v>
      </c>
      <c r="B319" s="29"/>
      <c r="C319" s="15">
        <f>2753379.13-179282.98</f>
        <v>2574096.15</v>
      </c>
      <c r="D319" s="15">
        <v>2613633.35</v>
      </c>
      <c r="E319" s="12">
        <f>C319-D319</f>
        <v>-39537.200000000186</v>
      </c>
      <c r="F319" s="12">
        <f>B319+E319</f>
        <v>-39537.200000000186</v>
      </c>
      <c r="G319" s="26"/>
      <c r="K319" s="67">
        <f>F319</f>
        <v>-39537.200000000186</v>
      </c>
    </row>
    <row r="320" spans="1:7" ht="26.25" customHeight="1">
      <c r="A320" s="29" t="s">
        <v>2</v>
      </c>
      <c r="B320" s="29"/>
      <c r="C320" s="12">
        <f>(974382.34-97998.15-79515.98)+(146763.79-16267.25+8759.67)</f>
        <v>936124.4199999999</v>
      </c>
      <c r="D320" s="15">
        <f>873863.77+134686.72</f>
        <v>1008550.49</v>
      </c>
      <c r="E320" s="12">
        <f>C320-D320</f>
        <v>-72426.07000000007</v>
      </c>
      <c r="F320" s="12">
        <f>B320+E320</f>
        <v>-72426.07000000007</v>
      </c>
      <c r="G320" s="26"/>
    </row>
    <row r="321" spans="1:7" ht="36" customHeight="1">
      <c r="A321" s="29" t="s">
        <v>48</v>
      </c>
      <c r="B321" s="29"/>
      <c r="C321" s="12">
        <f>59393.56-49558.33-11341.86+39868.43-12904.34+1081.57</f>
        <v>26539.029999999995</v>
      </c>
      <c r="D321" s="15">
        <f>5565.45+27337.29</f>
        <v>32902.74</v>
      </c>
      <c r="E321" s="12">
        <f>C321-D321</f>
        <v>-6363.710000000003</v>
      </c>
      <c r="F321" s="12">
        <f>B321+E321</f>
        <v>-6363.710000000003</v>
      </c>
      <c r="G321" s="26"/>
    </row>
    <row r="322" spans="1:10" ht="49.5" customHeight="1">
      <c r="A322" s="30" t="s">
        <v>26</v>
      </c>
      <c r="B322" s="55"/>
      <c r="C322" s="55">
        <f>SUM(C320:C321)</f>
        <v>962663.45</v>
      </c>
      <c r="D322" s="55">
        <f>SUM(D320:D321)</f>
        <v>1041453.23</v>
      </c>
      <c r="E322" s="55">
        <f>SUM(E320:E321)</f>
        <v>-78789.78000000007</v>
      </c>
      <c r="F322" s="55">
        <f>SUM(F320:F321)</f>
        <v>-78789.78000000007</v>
      </c>
      <c r="G322" s="26"/>
      <c r="J322" s="67">
        <f>F322</f>
        <v>-78789.78000000007</v>
      </c>
    </row>
    <row r="323" spans="1:7" ht="26.25" customHeight="1">
      <c r="A323" s="29" t="s">
        <v>6</v>
      </c>
      <c r="B323" s="29"/>
      <c r="C323" s="15">
        <f>2660039.32-119172.47</f>
        <v>2540866.8499999996</v>
      </c>
      <c r="D323" s="15">
        <v>2454009.65</v>
      </c>
      <c r="E323" s="12">
        <f aca="true" t="shared" si="44" ref="E323:E329">C323-D323</f>
        <v>86857.19999999972</v>
      </c>
      <c r="F323" s="12">
        <f>B323+E323</f>
        <v>86857.19999999972</v>
      </c>
      <c r="G323" s="26"/>
    </row>
    <row r="324" spans="1:7" ht="26.25" customHeight="1">
      <c r="A324" s="70" t="s">
        <v>71</v>
      </c>
      <c r="B324" s="70"/>
      <c r="C324" s="71">
        <f>23632.65-12502.07-0.41</f>
        <v>11130.170000000002</v>
      </c>
      <c r="D324" s="71">
        <v>9741.51</v>
      </c>
      <c r="E324" s="81">
        <f t="shared" si="44"/>
        <v>1388.6600000000017</v>
      </c>
      <c r="F324" s="71">
        <f>E324+B324</f>
        <v>1388.6600000000017</v>
      </c>
      <c r="G324" s="26"/>
    </row>
    <row r="325" spans="1:7" ht="31.5" customHeight="1">
      <c r="A325" s="70" t="s">
        <v>72</v>
      </c>
      <c r="B325" s="70"/>
      <c r="C325" s="71">
        <f>77356.7-12778.34</f>
        <v>64578.36</v>
      </c>
      <c r="D325" s="71">
        <v>59689.04</v>
      </c>
      <c r="E325" s="81">
        <f t="shared" si="44"/>
        <v>4889.32</v>
      </c>
      <c r="F325" s="71">
        <f>E325+B325</f>
        <v>4889.32</v>
      </c>
      <c r="G325" s="26"/>
    </row>
    <row r="326" spans="1:7" ht="26.25" customHeight="1">
      <c r="A326" s="70" t="s">
        <v>73</v>
      </c>
      <c r="B326" s="70"/>
      <c r="C326" s="71">
        <f>313634.03-13428.46</f>
        <v>300205.57</v>
      </c>
      <c r="D326" s="71">
        <v>273446.83</v>
      </c>
      <c r="E326" s="81">
        <f t="shared" si="44"/>
        <v>26758.73999999999</v>
      </c>
      <c r="F326" s="71">
        <f>E326+B326</f>
        <v>26758.73999999999</v>
      </c>
      <c r="G326" s="26"/>
    </row>
    <row r="327" spans="1:7" ht="26.25" customHeight="1">
      <c r="A327" s="29" t="s">
        <v>8</v>
      </c>
      <c r="B327" s="29"/>
      <c r="C327" s="15">
        <f>4758.36-4822.49</f>
        <v>-64.13000000000011</v>
      </c>
      <c r="D327" s="15">
        <v>549.39</v>
      </c>
      <c r="E327" s="12">
        <f t="shared" si="44"/>
        <v>-613.5200000000001</v>
      </c>
      <c r="F327" s="12">
        <f>B327+E327</f>
        <v>-613.5200000000001</v>
      </c>
      <c r="G327" s="26"/>
    </row>
    <row r="328" spans="1:7" ht="26.25" customHeight="1">
      <c r="A328" s="29" t="s">
        <v>49</v>
      </c>
      <c r="B328" s="29"/>
      <c r="C328" s="15">
        <f>361663.72-16932.28-3879.17</f>
        <v>340852.26999999996</v>
      </c>
      <c r="D328" s="15">
        <v>325627.28</v>
      </c>
      <c r="E328" s="12">
        <f t="shared" si="44"/>
        <v>15224.989999999932</v>
      </c>
      <c r="F328" s="12">
        <f>B328+E328</f>
        <v>15224.989999999932</v>
      </c>
      <c r="G328" s="26"/>
    </row>
    <row r="329" spans="1:7" ht="26.25" customHeight="1">
      <c r="A329" s="29" t="s">
        <v>9</v>
      </c>
      <c r="B329" s="29"/>
      <c r="C329" s="15">
        <f>8892.62-6229.07-2377.61+63698.63-1929.23+5264.58</f>
        <v>67319.92</v>
      </c>
      <c r="D329" s="15">
        <f>1201.94+56804.7</f>
        <v>58006.64</v>
      </c>
      <c r="E329" s="12">
        <f t="shared" si="44"/>
        <v>9313.279999999999</v>
      </c>
      <c r="F329" s="12">
        <f>B329+E329</f>
        <v>9313.279999999999</v>
      </c>
      <c r="G329" s="26"/>
    </row>
    <row r="330" spans="1:12" ht="36.75" customHeight="1">
      <c r="A330" s="30" t="s">
        <v>28</v>
      </c>
      <c r="B330" s="30"/>
      <c r="C330" s="30">
        <f>C327+C329+C328</f>
        <v>408108.05999999994</v>
      </c>
      <c r="D330" s="30">
        <f>D327+D329+D328</f>
        <v>384183.31000000006</v>
      </c>
      <c r="E330" s="30">
        <f>E327+E329+E328</f>
        <v>23924.74999999993</v>
      </c>
      <c r="F330" s="30">
        <f>F327+F329+F328</f>
        <v>23924.74999999993</v>
      </c>
      <c r="G330" s="26"/>
      <c r="L330" s="67">
        <f>F330</f>
        <v>23924.74999999993</v>
      </c>
    </row>
    <row r="331" spans="1:16" ht="51" customHeight="1">
      <c r="A331" s="52" t="s">
        <v>64</v>
      </c>
      <c r="B331" s="53"/>
      <c r="C331" s="53">
        <f>C318+C319+C322+C323+C330+C335+C336+C337</f>
        <v>7154325.56</v>
      </c>
      <c r="D331" s="53">
        <f>D318+D319+D322+D323+D330+D335+D336+D337</f>
        <v>7117749.489999999</v>
      </c>
      <c r="E331" s="53">
        <f>E318+E319+E322+E323+E330+E335+E336+E337</f>
        <v>36576.06999999933</v>
      </c>
      <c r="F331" s="53">
        <f>F318+F319+F322+F323+F330+F335+F336+F337</f>
        <v>36576.06999999933</v>
      </c>
      <c r="G331" s="26"/>
      <c r="P331" s="67"/>
    </row>
    <row r="332" spans="1:7" ht="26.25" customHeight="1">
      <c r="A332" s="52" t="s">
        <v>29</v>
      </c>
      <c r="B332" s="53"/>
      <c r="C332" s="53"/>
      <c r="D332" s="53"/>
      <c r="E332" s="53"/>
      <c r="F332" s="53"/>
      <c r="G332" s="26"/>
    </row>
    <row r="333" spans="1:7" ht="26.25" customHeight="1">
      <c r="A333" s="52" t="s">
        <v>30</v>
      </c>
      <c r="B333" s="53"/>
      <c r="C333" s="53">
        <f>C323</f>
        <v>2540866.8499999996</v>
      </c>
      <c r="D333" s="53">
        <f>D323</f>
        <v>2454009.65</v>
      </c>
      <c r="E333" s="53">
        <f>E323</f>
        <v>86857.19999999972</v>
      </c>
      <c r="F333" s="53">
        <f>F323</f>
        <v>86857.19999999972</v>
      </c>
      <c r="G333" s="26"/>
    </row>
    <row r="334" spans="1:7" ht="26.25" customHeight="1">
      <c r="A334" s="52" t="s">
        <v>31</v>
      </c>
      <c r="B334" s="53"/>
      <c r="C334" s="53">
        <f>C318+C319+C322+C330</f>
        <v>4237544.609999999</v>
      </c>
      <c r="D334" s="53">
        <f>D318+D319+D322+D330</f>
        <v>4320862.46</v>
      </c>
      <c r="E334" s="53">
        <f>E318+E319+E322+E330</f>
        <v>-83317.85000000038</v>
      </c>
      <c r="F334" s="53">
        <f>F318+F319+F322+F330</f>
        <v>-83317.85000000038</v>
      </c>
      <c r="G334" s="26"/>
    </row>
    <row r="335" spans="1:15" ht="26.25" customHeight="1">
      <c r="A335" s="72" t="s">
        <v>74</v>
      </c>
      <c r="B335" s="52"/>
      <c r="C335" s="52">
        <f aca="true" t="shared" si="45" ref="C335:O335">C324</f>
        <v>11130.170000000002</v>
      </c>
      <c r="D335" s="52">
        <f t="shared" si="45"/>
        <v>9741.51</v>
      </c>
      <c r="E335" s="52">
        <f t="shared" si="45"/>
        <v>1388.6600000000017</v>
      </c>
      <c r="F335" s="52">
        <f t="shared" si="45"/>
        <v>1388.6600000000017</v>
      </c>
      <c r="G335" s="52">
        <f t="shared" si="45"/>
        <v>0</v>
      </c>
      <c r="H335" s="52">
        <f t="shared" si="45"/>
        <v>0</v>
      </c>
      <c r="I335" s="52">
        <f t="shared" si="45"/>
        <v>0</v>
      </c>
      <c r="J335" s="52">
        <f t="shared" si="45"/>
        <v>0</v>
      </c>
      <c r="K335" s="52">
        <f t="shared" si="45"/>
        <v>0</v>
      </c>
      <c r="L335" s="52">
        <f t="shared" si="45"/>
        <v>0</v>
      </c>
      <c r="M335" s="52">
        <f t="shared" si="45"/>
        <v>0</v>
      </c>
      <c r="N335" s="52">
        <f t="shared" si="45"/>
        <v>0</v>
      </c>
      <c r="O335" s="52">
        <f t="shared" si="45"/>
        <v>0</v>
      </c>
    </row>
    <row r="336" spans="1:7" ht="38.25" customHeight="1">
      <c r="A336" s="72" t="s">
        <v>75</v>
      </c>
      <c r="B336" s="52"/>
      <c r="C336" s="52">
        <f aca="true" t="shared" si="46" ref="C336:F337">C325</f>
        <v>64578.36</v>
      </c>
      <c r="D336" s="52">
        <f t="shared" si="46"/>
        <v>59689.04</v>
      </c>
      <c r="E336" s="52">
        <f t="shared" si="46"/>
        <v>4889.32</v>
      </c>
      <c r="F336" s="52">
        <f t="shared" si="46"/>
        <v>4889.32</v>
      </c>
      <c r="G336" s="26"/>
    </row>
    <row r="337" spans="1:7" ht="26.25" customHeight="1">
      <c r="A337" s="72" t="s">
        <v>76</v>
      </c>
      <c r="B337" s="52"/>
      <c r="C337" s="52">
        <f t="shared" si="46"/>
        <v>300205.57</v>
      </c>
      <c r="D337" s="52">
        <f t="shared" si="46"/>
        <v>273446.83</v>
      </c>
      <c r="E337" s="52">
        <f t="shared" si="46"/>
        <v>26758.73999999999</v>
      </c>
      <c r="F337" s="52">
        <f t="shared" si="46"/>
        <v>26758.73999999999</v>
      </c>
      <c r="G337" s="26"/>
    </row>
    <row r="338" spans="1:7" ht="45" customHeight="1">
      <c r="A338" s="37" t="s">
        <v>21</v>
      </c>
      <c r="B338" s="37"/>
      <c r="C338" s="37" t="s">
        <v>68</v>
      </c>
      <c r="D338" s="38" t="s">
        <v>69</v>
      </c>
      <c r="E338" s="39" t="s">
        <v>24</v>
      </c>
      <c r="F338" s="39" t="s">
        <v>70</v>
      </c>
      <c r="G338" s="26"/>
    </row>
    <row r="339" spans="1:7" ht="26.25" customHeight="1">
      <c r="A339" s="16" t="s">
        <v>50</v>
      </c>
      <c r="B339" s="20"/>
      <c r="C339" s="12"/>
      <c r="D339" s="12"/>
      <c r="E339" s="10"/>
      <c r="F339" s="10"/>
      <c r="G339" s="26"/>
    </row>
    <row r="340" spans="1:7" ht="26.25" customHeight="1">
      <c r="A340" s="29" t="s">
        <v>0</v>
      </c>
      <c r="B340" s="29"/>
      <c r="C340" s="15">
        <f>159691.06-2702.73-2492.55</f>
        <v>154495.78</v>
      </c>
      <c r="D340" s="15">
        <v>142669.24</v>
      </c>
      <c r="E340" s="12">
        <f>C340-D340</f>
        <v>11826.540000000008</v>
      </c>
      <c r="F340" s="12">
        <f>B340+E340</f>
        <v>11826.540000000008</v>
      </c>
      <c r="G340" s="26"/>
    </row>
    <row r="341" spans="1:7" ht="26.25" customHeight="1">
      <c r="A341" s="29" t="s">
        <v>1</v>
      </c>
      <c r="B341" s="29"/>
      <c r="C341" s="15">
        <f>3065.96-1852.8-952.78</f>
        <v>260.3800000000001</v>
      </c>
      <c r="D341" s="15">
        <v>242.82</v>
      </c>
      <c r="E341" s="12">
        <f>C341-D341</f>
        <v>17.560000000000116</v>
      </c>
      <c r="F341" s="12">
        <f>B341+E341</f>
        <v>17.560000000000116</v>
      </c>
      <c r="G341" s="26"/>
    </row>
    <row r="342" spans="1:9" ht="26.25" customHeight="1">
      <c r="A342" s="30" t="s">
        <v>25</v>
      </c>
      <c r="B342" s="30"/>
      <c r="C342" s="30">
        <f>C340+C341</f>
        <v>154756.16</v>
      </c>
      <c r="D342" s="30">
        <f>D340+D341</f>
        <v>142912.06</v>
      </c>
      <c r="E342" s="30">
        <f>E340+E341</f>
        <v>11844.100000000008</v>
      </c>
      <c r="F342" s="30">
        <f>F340+F341</f>
        <v>11844.100000000008</v>
      </c>
      <c r="G342" s="26"/>
      <c r="I342" s="67">
        <f>F342</f>
        <v>11844.100000000008</v>
      </c>
    </row>
    <row r="343" spans="1:7" ht="26.25" customHeight="1">
      <c r="A343" s="29" t="s">
        <v>3</v>
      </c>
      <c r="B343" s="29"/>
      <c r="C343" s="15">
        <f>988735.13-28197.66</f>
        <v>960537.47</v>
      </c>
      <c r="D343" s="15">
        <v>980602.45</v>
      </c>
      <c r="E343" s="12">
        <f>C343-D343</f>
        <v>-20064.97999999998</v>
      </c>
      <c r="F343" s="12">
        <f>B343+E343</f>
        <v>-20064.97999999998</v>
      </c>
      <c r="G343" s="26"/>
    </row>
    <row r="344" spans="1:7" ht="26.25" customHeight="1" hidden="1">
      <c r="A344" s="29" t="s">
        <v>4</v>
      </c>
      <c r="B344" s="29"/>
      <c r="C344" s="12"/>
      <c r="D344" s="15"/>
      <c r="E344" s="12">
        <f>C344-D344</f>
        <v>0</v>
      </c>
      <c r="F344" s="12">
        <f>B344+E344</f>
        <v>0</v>
      </c>
      <c r="G344" s="26"/>
    </row>
    <row r="345" spans="1:11" ht="26.25" customHeight="1">
      <c r="A345" s="30" t="s">
        <v>43</v>
      </c>
      <c r="B345" s="30"/>
      <c r="C345" s="30">
        <f>C343+C344</f>
        <v>960537.47</v>
      </c>
      <c r="D345" s="30">
        <f>D343+D344</f>
        <v>980602.45</v>
      </c>
      <c r="E345" s="30">
        <f>E343+E344</f>
        <v>-20064.97999999998</v>
      </c>
      <c r="F345" s="30">
        <f>F343+F344</f>
        <v>-20064.97999999998</v>
      </c>
      <c r="G345" s="26"/>
      <c r="K345" s="67">
        <f>F345</f>
        <v>-20064.97999999998</v>
      </c>
    </row>
    <row r="346" spans="1:7" ht="26.25" customHeight="1">
      <c r="A346" s="29" t="s">
        <v>6</v>
      </c>
      <c r="B346" s="29"/>
      <c r="C346" s="12">
        <f>699171.91-10352.53</f>
        <v>688819.38</v>
      </c>
      <c r="D346" s="15">
        <v>666193.64</v>
      </c>
      <c r="E346" s="12">
        <f aca="true" t="shared" si="47" ref="E346:E351">C346-D346</f>
        <v>22625.73999999999</v>
      </c>
      <c r="F346" s="12">
        <f>B346+E346</f>
        <v>22625.73999999999</v>
      </c>
      <c r="G346" s="26"/>
    </row>
    <row r="347" spans="1:7" ht="26.25" customHeight="1">
      <c r="A347" s="70" t="s">
        <v>71</v>
      </c>
      <c r="B347" s="73"/>
      <c r="C347" s="71">
        <f>3884.31-634.23</f>
        <v>3250.08</v>
      </c>
      <c r="D347" s="71">
        <v>2985.35</v>
      </c>
      <c r="E347" s="74">
        <f t="shared" si="47"/>
        <v>264.73</v>
      </c>
      <c r="F347" s="71">
        <f>E347+B347</f>
        <v>264.73</v>
      </c>
      <c r="G347" s="26"/>
    </row>
    <row r="348" spans="1:7" ht="26.25" customHeight="1">
      <c r="A348" s="70" t="s">
        <v>73</v>
      </c>
      <c r="B348" s="73"/>
      <c r="C348" s="71">
        <f>20583.09-671.81</f>
        <v>19911.28</v>
      </c>
      <c r="D348" s="71">
        <v>18457.43</v>
      </c>
      <c r="E348" s="74">
        <f t="shared" si="47"/>
        <v>1453.8499999999985</v>
      </c>
      <c r="F348" s="71">
        <f>E348+B348</f>
        <v>1453.8499999999985</v>
      </c>
      <c r="G348" s="26"/>
    </row>
    <row r="349" spans="1:7" ht="26.25" customHeight="1">
      <c r="A349" s="29" t="s">
        <v>7</v>
      </c>
      <c r="B349" s="29"/>
      <c r="C349" s="15">
        <f>296164.01-4732.29-5254.67</f>
        <v>286177.05000000005</v>
      </c>
      <c r="D349" s="15">
        <v>264788.61</v>
      </c>
      <c r="E349" s="12">
        <f t="shared" si="47"/>
        <v>21388.44000000006</v>
      </c>
      <c r="F349" s="12">
        <f>B349+E349</f>
        <v>21388.44000000006</v>
      </c>
      <c r="G349" s="26"/>
    </row>
    <row r="350" spans="1:7" ht="26.25" customHeight="1">
      <c r="A350" s="29" t="s">
        <v>77</v>
      </c>
      <c r="B350" s="29"/>
      <c r="C350" s="15">
        <f>553.18-586.71</f>
        <v>-33.530000000000086</v>
      </c>
      <c r="D350" s="15">
        <v>104.22</v>
      </c>
      <c r="E350" s="12">
        <f t="shared" si="47"/>
        <v>-137.75000000000009</v>
      </c>
      <c r="F350" s="12">
        <f>B350+E350</f>
        <v>-137.75000000000009</v>
      </c>
      <c r="G350" s="26"/>
    </row>
    <row r="351" spans="1:7" ht="40.5" customHeight="1">
      <c r="A351" s="29" t="s">
        <v>9</v>
      </c>
      <c r="B351" s="29"/>
      <c r="C351" s="15">
        <f>4653.62-2230.4-2558.09+72112.26-935.9+5773.41</f>
        <v>76814.90000000001</v>
      </c>
      <c r="D351" s="15">
        <f>381.24+66315.12</f>
        <v>66696.36</v>
      </c>
      <c r="E351" s="12">
        <f t="shared" si="47"/>
        <v>10118.540000000008</v>
      </c>
      <c r="F351" s="12">
        <f>B351+E351</f>
        <v>10118.540000000008</v>
      </c>
      <c r="G351" s="26"/>
    </row>
    <row r="352" spans="1:12" ht="32.25" customHeight="1">
      <c r="A352" s="30" t="s">
        <v>28</v>
      </c>
      <c r="B352" s="30"/>
      <c r="C352" s="30">
        <f>C349+C350+C351</f>
        <v>362958.42000000004</v>
      </c>
      <c r="D352" s="30">
        <f>D349+D350+D351</f>
        <v>331589.18999999994</v>
      </c>
      <c r="E352" s="30">
        <f>E349+E350+E351</f>
        <v>31369.23000000007</v>
      </c>
      <c r="F352" s="30">
        <f>F349+F350+F351</f>
        <v>31369.23000000007</v>
      </c>
      <c r="G352" s="26"/>
      <c r="L352" s="67">
        <f>F352</f>
        <v>31369.23000000007</v>
      </c>
    </row>
    <row r="353" spans="1:16" ht="37.5" customHeight="1">
      <c r="A353" s="52" t="s">
        <v>64</v>
      </c>
      <c r="B353" s="53"/>
      <c r="C353" s="53">
        <f aca="true" t="shared" si="48" ref="C353:O353">C342+C345+C346+C352+C357+C358</f>
        <v>2190232.7899999996</v>
      </c>
      <c r="D353" s="53">
        <f t="shared" si="48"/>
        <v>2142740.12</v>
      </c>
      <c r="E353" s="53">
        <f t="shared" si="48"/>
        <v>47492.670000000086</v>
      </c>
      <c r="F353" s="53">
        <f t="shared" si="48"/>
        <v>47492.670000000086</v>
      </c>
      <c r="G353" s="53">
        <f t="shared" si="48"/>
        <v>0</v>
      </c>
      <c r="H353" s="53">
        <f t="shared" si="48"/>
        <v>0</v>
      </c>
      <c r="I353" s="53">
        <f t="shared" si="48"/>
        <v>11844.100000000008</v>
      </c>
      <c r="J353" s="53">
        <f t="shared" si="48"/>
        <v>0</v>
      </c>
      <c r="K353" s="53">
        <f t="shared" si="48"/>
        <v>-20064.97999999998</v>
      </c>
      <c r="L353" s="53">
        <f t="shared" si="48"/>
        <v>31369.23000000007</v>
      </c>
      <c r="M353" s="53">
        <f t="shared" si="48"/>
        <v>0</v>
      </c>
      <c r="N353" s="53">
        <f t="shared" si="48"/>
        <v>0</v>
      </c>
      <c r="O353" s="53">
        <f t="shared" si="48"/>
        <v>0</v>
      </c>
      <c r="P353" s="67"/>
    </row>
    <row r="354" spans="1:7" ht="26.25" customHeight="1">
      <c r="A354" s="52" t="s">
        <v>29</v>
      </c>
      <c r="B354" s="53"/>
      <c r="C354" s="53"/>
      <c r="D354" s="53"/>
      <c r="E354" s="53"/>
      <c r="F354" s="53"/>
      <c r="G354" s="26"/>
    </row>
    <row r="355" spans="1:7" ht="26.25" customHeight="1">
      <c r="A355" s="52" t="s">
        <v>30</v>
      </c>
      <c r="B355" s="53"/>
      <c r="C355" s="53">
        <f>C346</f>
        <v>688819.38</v>
      </c>
      <c r="D355" s="53">
        <f>D346</f>
        <v>666193.64</v>
      </c>
      <c r="E355" s="53">
        <f>E346</f>
        <v>22625.73999999999</v>
      </c>
      <c r="F355" s="53">
        <f>F346</f>
        <v>22625.73999999999</v>
      </c>
      <c r="G355" s="26"/>
    </row>
    <row r="356" spans="1:7" ht="26.25" customHeight="1">
      <c r="A356" s="52" t="s">
        <v>31</v>
      </c>
      <c r="B356" s="53"/>
      <c r="C356" s="53">
        <f>C342+C345+C352</f>
        <v>1478252.0499999998</v>
      </c>
      <c r="D356" s="53">
        <f>D342+D345+D352</f>
        <v>1455103.7</v>
      </c>
      <c r="E356" s="53">
        <f>E342+E345+E352</f>
        <v>23148.350000000093</v>
      </c>
      <c r="F356" s="53">
        <f>F342+F345+F352</f>
        <v>23148.350000000093</v>
      </c>
      <c r="G356" s="26"/>
    </row>
    <row r="357" spans="1:7" ht="26.25" customHeight="1">
      <c r="A357" s="72" t="s">
        <v>74</v>
      </c>
      <c r="B357" s="53"/>
      <c r="C357" s="53">
        <f aca="true" t="shared" si="49" ref="B357:F358">C347</f>
        <v>3250.08</v>
      </c>
      <c r="D357" s="53">
        <f t="shared" si="49"/>
        <v>2985.35</v>
      </c>
      <c r="E357" s="53">
        <f t="shared" si="49"/>
        <v>264.73</v>
      </c>
      <c r="F357" s="53">
        <f t="shared" si="49"/>
        <v>264.73</v>
      </c>
      <c r="G357" s="26"/>
    </row>
    <row r="358" spans="1:7" ht="26.25" customHeight="1">
      <c r="A358" s="72" t="s">
        <v>76</v>
      </c>
      <c r="B358" s="53"/>
      <c r="C358" s="53">
        <f t="shared" si="49"/>
        <v>19911.28</v>
      </c>
      <c r="D358" s="53">
        <f t="shared" si="49"/>
        <v>18457.43</v>
      </c>
      <c r="E358" s="53">
        <f t="shared" si="49"/>
        <v>1453.8499999999985</v>
      </c>
      <c r="F358" s="53">
        <f t="shared" si="49"/>
        <v>1453.8499999999985</v>
      </c>
      <c r="G358" s="26"/>
    </row>
    <row r="359" spans="1:16" ht="53.25" customHeight="1">
      <c r="A359" s="63" t="s">
        <v>65</v>
      </c>
      <c r="B359" s="64"/>
      <c r="C359" s="64">
        <f>C24+C60+C95+C121+C146+C175+C208+C236+C263+C284+C307+C331+C353</f>
        <v>101294878.55</v>
      </c>
      <c r="D359" s="64">
        <f>D24+D60+D95+D121+D146+D175+D208+D236+D263+D284+D307+D331+D353</f>
        <v>99339665.35000001</v>
      </c>
      <c r="E359" s="64">
        <f>E24+E60+E95+E121+E146+E175+E208+E236+E263+E284+E307+E331+E353</f>
        <v>1955213.1999999988</v>
      </c>
      <c r="F359" s="64">
        <f>F24+F60+F95+F121+F146+F175+F208+F236+F263+F284+F307+F331+F353</f>
        <v>1955213.1999999988</v>
      </c>
      <c r="G359" s="26"/>
      <c r="I359" s="67"/>
      <c r="P359" s="67"/>
    </row>
    <row r="360" spans="1:9" ht="26.25" customHeight="1">
      <c r="A360" s="65" t="s">
        <v>29</v>
      </c>
      <c r="B360" s="64"/>
      <c r="C360" s="64"/>
      <c r="D360" s="64"/>
      <c r="E360" s="64"/>
      <c r="F360" s="64"/>
      <c r="G360" s="26"/>
      <c r="I360" s="67"/>
    </row>
    <row r="361" spans="1:9" ht="26.25" customHeight="1">
      <c r="A361" s="65" t="s">
        <v>30</v>
      </c>
      <c r="B361" s="64"/>
      <c r="C361" s="64">
        <f aca="true" t="shared" si="50" ref="B361:F362">C26+C62+C97+C123+C148+C177+C210+C238+C265+C286+C309+C333+C355</f>
        <v>32579499.87</v>
      </c>
      <c r="D361" s="64">
        <f t="shared" si="50"/>
        <v>30275364.829999994</v>
      </c>
      <c r="E361" s="64">
        <f t="shared" si="50"/>
        <v>2304135.039999999</v>
      </c>
      <c r="F361" s="64">
        <f t="shared" si="50"/>
        <v>2304135.039999999</v>
      </c>
      <c r="G361" s="64" t="e">
        <f>G26+G62+#REF!+G97+G123+G148+G177+G210+G238+G265+G286+G309+G333+G355</f>
        <v>#REF!</v>
      </c>
      <c r="H361" s="64" t="e">
        <f>H26+H62+#REF!+H97+H123+H148+H177+H210+H238+H265+H286+H309+H333+H355</f>
        <v>#REF!</v>
      </c>
      <c r="I361" s="67"/>
    </row>
    <row r="362" spans="1:15" ht="26.25" customHeight="1">
      <c r="A362" s="65" t="s">
        <v>31</v>
      </c>
      <c r="B362" s="64"/>
      <c r="C362" s="64">
        <f t="shared" si="50"/>
        <v>46426925.57999999</v>
      </c>
      <c r="D362" s="64">
        <f t="shared" si="50"/>
        <v>49769919.25000001</v>
      </c>
      <c r="E362" s="64">
        <f t="shared" si="50"/>
        <v>-3342993.6700000004</v>
      </c>
      <c r="F362" s="64">
        <f t="shared" si="50"/>
        <v>-3342993.6700000004</v>
      </c>
      <c r="G362" s="64" t="e">
        <f aca="true" t="shared" si="51" ref="G362:O362">G27+G63+G98+G124+G149+G178+G211+G239+G266+G287+G310+G334+G356</f>
        <v>#VALUE!</v>
      </c>
      <c r="H362" s="64" t="e">
        <f t="shared" si="51"/>
        <v>#REF!</v>
      </c>
      <c r="I362" s="64" t="e">
        <f t="shared" si="51"/>
        <v>#REF!</v>
      </c>
      <c r="J362" s="64" t="e">
        <f t="shared" si="51"/>
        <v>#REF!</v>
      </c>
      <c r="K362" s="64" t="e">
        <f t="shared" si="51"/>
        <v>#REF!</v>
      </c>
      <c r="L362" s="64" t="e">
        <f t="shared" si="51"/>
        <v>#REF!</v>
      </c>
      <c r="M362" s="64" t="e">
        <f t="shared" si="51"/>
        <v>#REF!</v>
      </c>
      <c r="N362" s="64" t="e">
        <f t="shared" si="51"/>
        <v>#REF!</v>
      </c>
      <c r="O362" s="64" t="e">
        <f t="shared" si="51"/>
        <v>#REF!</v>
      </c>
    </row>
    <row r="363" spans="1:14" ht="26.25" customHeight="1">
      <c r="A363" s="66" t="s">
        <v>51</v>
      </c>
      <c r="B363" s="66"/>
      <c r="C363" s="66">
        <f>C28+C64+C99+C125+C150+C179+C212+C240+C267+C288+C311</f>
        <v>18567266.009999998</v>
      </c>
      <c r="D363" s="66">
        <f>D28+D64+D99+D125+D150+D179+D212+D240+D267+D288+D311</f>
        <v>15804694.359999996</v>
      </c>
      <c r="E363" s="66">
        <f>E28+E64+E99+E125+E150+E179+E212+E240+E267+E288+E311</f>
        <v>2762571.65</v>
      </c>
      <c r="F363" s="66">
        <f>F28+F64+F99+F125+F150+F179+F212+F240+F267+F288+F311</f>
        <v>2762571.65</v>
      </c>
      <c r="G363" s="56" t="e">
        <f>G212+G64+G99+G28+#REF!+#REF!+G125</f>
        <v>#VALUE!</v>
      </c>
      <c r="I363" s="67" t="e">
        <f>SUM(I5:I362)</f>
        <v>#REF!</v>
      </c>
      <c r="J363" s="67" t="e">
        <f>SUM(J5:J362)</f>
        <v>#REF!</v>
      </c>
      <c r="K363" s="67" t="e">
        <f>SUM(K5:K362)</f>
        <v>#REF!</v>
      </c>
      <c r="L363" s="67" t="e">
        <f>SUM(L5:L362)</f>
        <v>#REF!</v>
      </c>
      <c r="M363" s="67" t="e">
        <f>SUM(M5:M362)</f>
        <v>#REF!</v>
      </c>
      <c r="N363" s="67" t="e">
        <f>SUM(I363:M363)</f>
        <v>#REF!</v>
      </c>
    </row>
    <row r="364" spans="1:14" ht="26.25" customHeight="1">
      <c r="A364" s="79" t="s">
        <v>74</v>
      </c>
      <c r="B364" s="66"/>
      <c r="C364" s="66">
        <f>C29+C65+C100+C126+C151+C180+C213+C241+C268+C289+C312+C335+C357</f>
        <v>103383.51</v>
      </c>
      <c r="D364" s="66">
        <f>D29+D65+D100+D126+D151+D180+D213+D241+D268+D289+D312+D335+D357</f>
        <v>108883.76999999999</v>
      </c>
      <c r="E364" s="66">
        <f>E29+E65+E100+E126+E151+E180+E213+E241+E268+E289+E312+E335+E357</f>
        <v>-5500.259999999998</v>
      </c>
      <c r="F364" s="66">
        <f>F29+F65+F100+F126+F151+F180+F213+F241+F268+F289+F312+F335+F357</f>
        <v>-5500.259999999998</v>
      </c>
      <c r="G364" s="77"/>
      <c r="I364" s="67"/>
      <c r="J364" s="67"/>
      <c r="K364" s="67"/>
      <c r="L364" s="67"/>
      <c r="M364" s="67"/>
      <c r="N364" s="67"/>
    </row>
    <row r="365" spans="1:14" ht="48.75" customHeight="1">
      <c r="A365" s="79" t="s">
        <v>75</v>
      </c>
      <c r="B365" s="66"/>
      <c r="C365" s="66">
        <f>C30+C66+C101+C127+C152+C181+C214+C242+C269+C336</f>
        <v>463510.64999999997</v>
      </c>
      <c r="D365" s="66">
        <f>D30+D66+D101+D127+D152+D181+D214+D242+D269+D336</f>
        <v>437913.96</v>
      </c>
      <c r="E365" s="66">
        <f>E30+E66+E101+E127+E152+E181+E214+E242+E269+E336</f>
        <v>25596.69000000001</v>
      </c>
      <c r="F365" s="66">
        <f>F30+F66+F101+F127+F152+F181+F214+F242+F269+F336</f>
        <v>25596.69000000001</v>
      </c>
      <c r="G365" s="77"/>
      <c r="I365" s="67"/>
      <c r="J365" s="67"/>
      <c r="K365" s="67"/>
      <c r="L365" s="67"/>
      <c r="M365" s="67"/>
      <c r="N365" s="67"/>
    </row>
    <row r="366" spans="1:14" ht="26.25" customHeight="1">
      <c r="A366" s="79" t="s">
        <v>76</v>
      </c>
      <c r="B366" s="78"/>
      <c r="C366" s="78">
        <f>C31+C67+C102+C128+C153+C182+C215+C243+C270+C290+C313+C337+C358</f>
        <v>3154292.9299999997</v>
      </c>
      <c r="D366" s="78">
        <f>D31+D67+D102+D128+D153+D182+D215+D243+D270+D290+D313+D337+D358</f>
        <v>2942889.18</v>
      </c>
      <c r="E366" s="78">
        <f>E31+E67+E102+E128+E153+E182+E215+E243+E270+E290+E313+E337+E358</f>
        <v>211403.75000000012</v>
      </c>
      <c r="F366" s="78">
        <f>F31+F67+F102+F128+F153+F182+F215+F243+F270+F290+F313+F337+F358</f>
        <v>211403.75000000012</v>
      </c>
      <c r="G366" s="26"/>
      <c r="N366" s="67" t="e">
        <f>F362-N363</f>
        <v>#REF!</v>
      </c>
    </row>
    <row r="367" spans="1:7" ht="26.25" customHeight="1">
      <c r="A367" s="69" t="s">
        <v>66</v>
      </c>
      <c r="B367"/>
      <c r="C367"/>
      <c r="D367"/>
      <c r="E367"/>
      <c r="F367"/>
      <c r="G367"/>
    </row>
    <row r="368" spans="1:7" ht="26.25" customHeight="1">
      <c r="A368" s="26"/>
      <c r="B368" s="26"/>
      <c r="C368" s="26"/>
      <c r="D368" s="26"/>
      <c r="E368" s="26"/>
      <c r="F368" s="26"/>
      <c r="G368" s="26"/>
    </row>
    <row r="369" spans="1:7" ht="26.25" customHeight="1">
      <c r="A369" s="26"/>
      <c r="B369" s="26"/>
      <c r="C369" s="26"/>
      <c r="D369" s="26"/>
      <c r="E369" s="26"/>
      <c r="F369" s="26"/>
      <c r="G369" s="26"/>
    </row>
    <row r="370" spans="1:7" ht="26.25" customHeight="1">
      <c r="A370" s="26"/>
      <c r="B370" s="26"/>
      <c r="C370" s="26"/>
      <c r="D370" s="26"/>
      <c r="E370" s="26"/>
      <c r="F370" s="26"/>
      <c r="G370" s="26"/>
    </row>
    <row r="371" spans="1:7" ht="26.25" customHeight="1">
      <c r="A371" s="26"/>
      <c r="B371" s="26"/>
      <c r="C371" s="26"/>
      <c r="D371" s="26"/>
      <c r="E371" s="26"/>
      <c r="F371" s="26"/>
      <c r="G371" s="26"/>
    </row>
    <row r="372" spans="1:7" ht="26.25" customHeight="1">
      <c r="A372" s="26"/>
      <c r="B372" s="26"/>
      <c r="C372" s="26"/>
      <c r="D372" s="26"/>
      <c r="E372" s="26"/>
      <c r="F372" s="26"/>
      <c r="G372" s="26"/>
    </row>
    <row r="373" spans="1:7" ht="26.25" customHeight="1">
      <c r="A373" s="26"/>
      <c r="B373" s="26"/>
      <c r="C373" s="26"/>
      <c r="D373" s="26"/>
      <c r="E373" s="26"/>
      <c r="F373" s="26"/>
      <c r="G373" s="26"/>
    </row>
    <row r="374" spans="1:7" ht="26.25" customHeight="1">
      <c r="A374" s="26"/>
      <c r="B374" s="26"/>
      <c r="C374" s="26"/>
      <c r="D374" s="26"/>
      <c r="E374" s="26"/>
      <c r="F374" s="26"/>
      <c r="G374" s="26"/>
    </row>
    <row r="375" spans="1:7" ht="26.25" customHeight="1">
      <c r="A375" s="26"/>
      <c r="B375" s="26"/>
      <c r="C375" s="26"/>
      <c r="D375" s="26"/>
      <c r="E375" s="26"/>
      <c r="F375" s="26"/>
      <c r="G375" s="26"/>
    </row>
    <row r="376" spans="1:7" ht="26.25" customHeight="1">
      <c r="A376" s="26"/>
      <c r="B376" s="26"/>
      <c r="C376" s="26"/>
      <c r="D376" s="26"/>
      <c r="E376" s="26"/>
      <c r="F376" s="26"/>
      <c r="G376" s="26"/>
    </row>
    <row r="377" spans="1:7" ht="26.25" customHeight="1">
      <c r="A377" s="26"/>
      <c r="B377" s="26"/>
      <c r="C377" s="26"/>
      <c r="D377" s="26"/>
      <c r="E377" s="26"/>
      <c r="F377" s="26"/>
      <c r="G377" s="26"/>
    </row>
    <row r="378" spans="1:7" ht="26.25" customHeight="1">
      <c r="A378" s="26"/>
      <c r="B378" s="26"/>
      <c r="C378" s="26"/>
      <c r="D378" s="26"/>
      <c r="E378" s="26"/>
      <c r="F378" s="26"/>
      <c r="G378" s="26"/>
    </row>
    <row r="379" spans="1:7" ht="26.25" customHeight="1">
      <c r="A379" s="26"/>
      <c r="B379" s="26"/>
      <c r="C379" s="26"/>
      <c r="D379" s="26"/>
      <c r="E379" s="26"/>
      <c r="F379" s="26"/>
      <c r="G379" s="26"/>
    </row>
    <row r="380" spans="1:7" ht="26.25" customHeight="1">
      <c r="A380" s="26"/>
      <c r="B380" s="26"/>
      <c r="C380" s="26"/>
      <c r="D380" s="26"/>
      <c r="E380" s="26"/>
      <c r="F380" s="26"/>
      <c r="G380" s="26"/>
    </row>
    <row r="381" spans="1:7" ht="26.25" customHeight="1">
      <c r="A381" s="26"/>
      <c r="B381" s="26"/>
      <c r="C381" s="26"/>
      <c r="D381" s="26"/>
      <c r="E381" s="26"/>
      <c r="F381" s="26"/>
      <c r="G381" s="26"/>
    </row>
    <row r="382" spans="1:7" ht="26.25" customHeight="1">
      <c r="A382" s="26"/>
      <c r="B382" s="26"/>
      <c r="C382" s="26"/>
      <c r="D382" s="26"/>
      <c r="E382" s="26"/>
      <c r="F382" s="26"/>
      <c r="G382" s="26"/>
    </row>
    <row r="383" spans="1:7" ht="26.25" customHeight="1">
      <c r="A383" s="26"/>
      <c r="B383" s="26"/>
      <c r="C383" s="26"/>
      <c r="D383" s="26"/>
      <c r="E383" s="26"/>
      <c r="F383" s="26"/>
      <c r="G383" s="26"/>
    </row>
    <row r="384" spans="1:7" ht="26.25" customHeight="1">
      <c r="A384" s="26"/>
      <c r="B384" s="26"/>
      <c r="C384" s="26"/>
      <c r="D384" s="26"/>
      <c r="E384" s="26"/>
      <c r="F384" s="26"/>
      <c r="G384" s="26"/>
    </row>
    <row r="385" spans="1:7" ht="26.25" customHeight="1">
      <c r="A385" s="26"/>
      <c r="B385" s="26"/>
      <c r="C385" s="26"/>
      <c r="D385" s="26"/>
      <c r="E385" s="26"/>
      <c r="F385" s="26"/>
      <c r="G385" s="26"/>
    </row>
    <row r="386" spans="1:7" ht="26.25" customHeight="1">
      <c r="A386" s="26"/>
      <c r="B386" s="26"/>
      <c r="C386" s="26"/>
      <c r="D386" s="26"/>
      <c r="E386" s="26"/>
      <c r="F386" s="26"/>
      <c r="G386" s="26"/>
    </row>
    <row r="387" spans="1:7" ht="26.25" customHeight="1">
      <c r="A387" s="26"/>
      <c r="B387" s="26"/>
      <c r="C387" s="26"/>
      <c r="D387" s="26"/>
      <c r="E387" s="26"/>
      <c r="F387" s="26"/>
      <c r="G387" s="26"/>
    </row>
    <row r="388" spans="1:7" ht="26.25" customHeight="1">
      <c r="A388" s="26"/>
      <c r="B388" s="26"/>
      <c r="C388" s="26"/>
      <c r="D388" s="26"/>
      <c r="E388" s="26"/>
      <c r="F388" s="26"/>
      <c r="G388" s="26"/>
    </row>
    <row r="389" spans="1:7" ht="26.25" customHeight="1">
      <c r="A389" s="26"/>
      <c r="B389" s="26"/>
      <c r="C389" s="26"/>
      <c r="D389" s="26"/>
      <c r="E389" s="26"/>
      <c r="F389" s="26"/>
      <c r="G389" s="26"/>
    </row>
    <row r="390" spans="1:7" ht="26.25" customHeight="1">
      <c r="A390" s="26"/>
      <c r="B390" s="26"/>
      <c r="C390" s="26"/>
      <c r="D390" s="26"/>
      <c r="E390" s="26"/>
      <c r="F390" s="26"/>
      <c r="G390" s="26"/>
    </row>
    <row r="391" spans="1:7" ht="26.25" customHeight="1">
      <c r="A391" s="26"/>
      <c r="B391" s="26"/>
      <c r="C391" s="26"/>
      <c r="D391" s="26"/>
      <c r="E391" s="26"/>
      <c r="F391" s="26"/>
      <c r="G391" s="26"/>
    </row>
    <row r="392" spans="1:7" ht="26.25" customHeight="1">
      <c r="A392" s="26"/>
      <c r="B392" s="26"/>
      <c r="C392" s="26"/>
      <c r="D392" s="26"/>
      <c r="E392" s="26"/>
      <c r="F392" s="26"/>
      <c r="G392" s="26"/>
    </row>
    <row r="393" spans="1:7" ht="26.25" customHeight="1">
      <c r="A393" s="26"/>
      <c r="B393" s="26"/>
      <c r="C393" s="26"/>
      <c r="D393" s="26"/>
      <c r="E393" s="26"/>
      <c r="F393" s="26"/>
      <c r="G393" s="26"/>
    </row>
    <row r="394" spans="1:7" ht="26.25" customHeight="1">
      <c r="A394" s="26"/>
      <c r="B394" s="26"/>
      <c r="C394" s="26"/>
      <c r="D394" s="26"/>
      <c r="E394" s="26"/>
      <c r="F394" s="26"/>
      <c r="G394" s="26"/>
    </row>
    <row r="395" spans="1:7" ht="26.25" customHeight="1">
      <c r="A395" s="26"/>
      <c r="B395" s="26"/>
      <c r="C395" s="26"/>
      <c r="D395" s="26"/>
      <c r="E395" s="26"/>
      <c r="F395" s="26"/>
      <c r="G395" s="26"/>
    </row>
    <row r="396" spans="1:7" ht="26.25" customHeight="1">
      <c r="A396" s="26"/>
      <c r="B396" s="26"/>
      <c r="C396" s="26"/>
      <c r="D396" s="26"/>
      <c r="E396" s="26"/>
      <c r="F396" s="26"/>
      <c r="G396" s="26"/>
    </row>
    <row r="397" spans="1:7" ht="26.25" customHeight="1">
      <c r="A397" s="26"/>
      <c r="B397" s="26"/>
      <c r="C397" s="26"/>
      <c r="D397" s="26"/>
      <c r="E397" s="26"/>
      <c r="F397" s="26"/>
      <c r="G397" s="26"/>
    </row>
    <row r="398" spans="1:7" ht="26.25" customHeight="1">
      <c r="A398" s="26"/>
      <c r="B398" s="26"/>
      <c r="C398" s="26"/>
      <c r="D398" s="26"/>
      <c r="E398" s="26"/>
      <c r="F398" s="26"/>
      <c r="G398" s="26"/>
    </row>
    <row r="399" spans="1:7" ht="26.25" customHeight="1">
      <c r="A399" s="26"/>
      <c r="B399" s="26"/>
      <c r="C399" s="26"/>
      <c r="D399" s="26"/>
      <c r="E399" s="26"/>
      <c r="F399" s="26"/>
      <c r="G399" s="26"/>
    </row>
    <row r="400" spans="1:7" ht="26.25" customHeight="1">
      <c r="A400" s="26"/>
      <c r="B400" s="26"/>
      <c r="C400" s="26"/>
      <c r="D400" s="26"/>
      <c r="E400" s="26"/>
      <c r="F400" s="26"/>
      <c r="G400" s="26"/>
    </row>
    <row r="401" spans="1:7" ht="26.25" customHeight="1">
      <c r="A401" s="26"/>
      <c r="B401" s="26"/>
      <c r="C401" s="26"/>
      <c r="D401" s="26"/>
      <c r="E401" s="26"/>
      <c r="F401" s="26"/>
      <c r="G401" s="26"/>
    </row>
    <row r="402" spans="1:7" ht="26.25" customHeight="1">
      <c r="A402" s="26"/>
      <c r="B402" s="26"/>
      <c r="C402" s="26"/>
      <c r="D402" s="26"/>
      <c r="E402" s="26"/>
      <c r="F402" s="26"/>
      <c r="G402" s="26"/>
    </row>
    <row r="403" spans="1:7" ht="26.25" customHeight="1">
      <c r="A403" s="26"/>
      <c r="B403" s="26"/>
      <c r="C403" s="26"/>
      <c r="D403" s="26"/>
      <c r="E403" s="26"/>
      <c r="F403" s="26"/>
      <c r="G403" s="26"/>
    </row>
    <row r="404" spans="1:7" ht="26.25" customHeight="1">
      <c r="A404" s="26"/>
      <c r="B404" s="26"/>
      <c r="C404" s="26"/>
      <c r="D404" s="26"/>
      <c r="E404" s="26"/>
      <c r="F404" s="26"/>
      <c r="G404" s="26"/>
    </row>
    <row r="405" spans="1:7" ht="26.25" customHeight="1">
      <c r="A405" s="2"/>
      <c r="B405" s="2"/>
      <c r="C405" s="2"/>
      <c r="D405" s="2"/>
      <c r="E405" s="2"/>
      <c r="F405" s="2"/>
      <c r="G405" s="2"/>
    </row>
    <row r="406" spans="1:7" ht="26.25" customHeight="1">
      <c r="A406" s="2"/>
      <c r="B406" s="2"/>
      <c r="C406" s="2"/>
      <c r="D406" s="2"/>
      <c r="E406" s="2"/>
      <c r="F406" s="2"/>
      <c r="G406" s="2"/>
    </row>
    <row r="407" spans="1:7" ht="26.25" customHeight="1">
      <c r="A407" s="2"/>
      <c r="B407" s="2"/>
      <c r="C407" s="2"/>
      <c r="D407" s="2"/>
      <c r="E407" s="2"/>
      <c r="F407" s="2"/>
      <c r="G407" s="2"/>
    </row>
    <row r="408" spans="1:7" ht="26.25" customHeight="1">
      <c r="A408" s="2"/>
      <c r="B408" s="2"/>
      <c r="C408" s="2"/>
      <c r="D408" s="2"/>
      <c r="E408" s="2"/>
      <c r="F408" s="2"/>
      <c r="G408" s="2"/>
    </row>
    <row r="409" spans="1:7" ht="26.25" customHeight="1">
      <c r="A409" s="2"/>
      <c r="B409" s="2"/>
      <c r="C409" s="2"/>
      <c r="D409" s="2"/>
      <c r="E409" s="2"/>
      <c r="F409" s="2"/>
      <c r="G409" s="2"/>
    </row>
    <row r="410" spans="1:7" ht="26.25" customHeight="1">
      <c r="A410" s="2"/>
      <c r="B410" s="2"/>
      <c r="C410" s="2"/>
      <c r="D410" s="2"/>
      <c r="E410" s="2"/>
      <c r="F410" s="2"/>
      <c r="G410" s="2"/>
    </row>
    <row r="411" spans="1:7" ht="26.25" customHeight="1">
      <c r="A411" s="2"/>
      <c r="B411" s="2"/>
      <c r="C411" s="2"/>
      <c r="D411" s="2"/>
      <c r="E411" s="2"/>
      <c r="F411" s="2"/>
      <c r="G411" s="2"/>
    </row>
    <row r="412" spans="1:7" ht="26.25" customHeight="1">
      <c r="A412" s="2"/>
      <c r="B412" s="2"/>
      <c r="C412" s="2"/>
      <c r="D412" s="2"/>
      <c r="E412" s="2"/>
      <c r="F412" s="2"/>
      <c r="G412" s="2"/>
    </row>
    <row r="413" spans="1:7" ht="26.25" customHeight="1">
      <c r="A413" s="2"/>
      <c r="B413" s="2"/>
      <c r="C413" s="2"/>
      <c r="D413" s="2"/>
      <c r="E413" s="2"/>
      <c r="F413" s="2"/>
      <c r="G413" s="2"/>
    </row>
    <row r="414" spans="1:7" ht="26.25" customHeight="1">
      <c r="A414" s="2"/>
      <c r="B414" s="2"/>
      <c r="C414" s="2"/>
      <c r="D414" s="2"/>
      <c r="E414" s="2"/>
      <c r="F414" s="2"/>
      <c r="G414" s="2"/>
    </row>
    <row r="415" spans="1:7" ht="26.25" customHeight="1">
      <c r="A415" s="2"/>
      <c r="B415" s="2"/>
      <c r="C415" s="2"/>
      <c r="D415" s="2"/>
      <c r="E415" s="2"/>
      <c r="F415" s="2"/>
      <c r="G415" s="2"/>
    </row>
    <row r="416" spans="1:7" ht="26.25" customHeight="1">
      <c r="A416" s="2"/>
      <c r="B416" s="2"/>
      <c r="C416" s="2"/>
      <c r="D416" s="2"/>
      <c r="E416" s="2"/>
      <c r="F416" s="2"/>
      <c r="G416" s="2"/>
    </row>
    <row r="417" spans="1:7" ht="26.25" customHeight="1">
      <c r="A417" s="2"/>
      <c r="B417" s="2"/>
      <c r="C417" s="2"/>
      <c r="D417" s="2"/>
      <c r="E417" s="2"/>
      <c r="F417" s="2"/>
      <c r="G417" s="2"/>
    </row>
    <row r="418" spans="1:7" ht="26.25" customHeight="1">
      <c r="A418" s="2"/>
      <c r="B418" s="2"/>
      <c r="C418" s="2"/>
      <c r="D418" s="2"/>
      <c r="E418" s="2"/>
      <c r="F418" s="2"/>
      <c r="G418" s="2"/>
    </row>
    <row r="419" spans="1:7" ht="26.25" customHeight="1">
      <c r="A419" s="2"/>
      <c r="B419" s="2"/>
      <c r="C419" s="2"/>
      <c r="D419" s="2"/>
      <c r="E419" s="2"/>
      <c r="F419" s="2"/>
      <c r="G419" s="2"/>
    </row>
    <row r="420" spans="1:7" ht="26.25" customHeight="1">
      <c r="A420" s="2"/>
      <c r="B420" s="2"/>
      <c r="C420" s="2"/>
      <c r="D420" s="2"/>
      <c r="E420" s="2"/>
      <c r="F420" s="2"/>
      <c r="G420" s="2"/>
    </row>
    <row r="421" spans="1:7" ht="26.25" customHeight="1">
      <c r="A421" s="2"/>
      <c r="B421" s="2"/>
      <c r="C421" s="2"/>
      <c r="D421" s="2"/>
      <c r="E421" s="2"/>
      <c r="F421" s="2"/>
      <c r="G421" s="2"/>
    </row>
    <row r="422" spans="1:7" ht="26.25" customHeight="1">
      <c r="A422" s="2"/>
      <c r="B422" s="2"/>
      <c r="C422" s="2"/>
      <c r="D422" s="2"/>
      <c r="E422" s="2"/>
      <c r="F422" s="2"/>
      <c r="G422" s="2"/>
    </row>
    <row r="423" spans="1:7" ht="26.25" customHeight="1">
      <c r="A423" s="2"/>
      <c r="B423" s="2"/>
      <c r="C423" s="2"/>
      <c r="D423" s="2"/>
      <c r="E423" s="2"/>
      <c r="F423" s="2"/>
      <c r="G423" s="2"/>
    </row>
    <row r="424" spans="1:7" ht="26.25" customHeight="1">
      <c r="A424" s="2"/>
      <c r="B424" s="2"/>
      <c r="C424" s="2"/>
      <c r="D424" s="2"/>
      <c r="E424" s="2"/>
      <c r="F424" s="2"/>
      <c r="G424" s="2"/>
    </row>
    <row r="425" spans="1:7" ht="26.25" customHeight="1">
      <c r="A425" s="2"/>
      <c r="B425" s="2"/>
      <c r="C425" s="2"/>
      <c r="D425" s="2"/>
      <c r="E425" s="2"/>
      <c r="F425" s="2"/>
      <c r="G425" s="2"/>
    </row>
    <row r="426" spans="1:7" ht="26.25" customHeight="1">
      <c r="A426" s="2"/>
      <c r="B426" s="2"/>
      <c r="C426" s="2"/>
      <c r="D426" s="2"/>
      <c r="E426" s="2"/>
      <c r="F426" s="2"/>
      <c r="G426" s="2"/>
    </row>
    <row r="427" spans="1:7" ht="26.25" customHeight="1">
      <c r="A427" s="2"/>
      <c r="B427" s="2"/>
      <c r="C427" s="2"/>
      <c r="D427" s="2"/>
      <c r="E427" s="2"/>
      <c r="F427" s="2"/>
      <c r="G427" s="2"/>
    </row>
    <row r="428" spans="1:7" ht="26.25" customHeight="1">
      <c r="A428" s="2"/>
      <c r="B428" s="2"/>
      <c r="C428" s="2"/>
      <c r="D428" s="2"/>
      <c r="E428" s="2"/>
      <c r="F428" s="2"/>
      <c r="G428" s="2"/>
    </row>
    <row r="429" spans="1:7" ht="26.25" customHeight="1">
      <c r="A429" s="2"/>
      <c r="B429" s="2"/>
      <c r="C429" s="2"/>
      <c r="D429" s="2"/>
      <c r="E429" s="2"/>
      <c r="F429" s="2"/>
      <c r="G429" s="2"/>
    </row>
    <row r="430" spans="1:7" ht="26.25" customHeight="1">
      <c r="A430" s="2"/>
      <c r="B430" s="2"/>
      <c r="C430" s="2"/>
      <c r="D430" s="2"/>
      <c r="E430" s="2"/>
      <c r="F430" s="2"/>
      <c r="G430" s="2"/>
    </row>
    <row r="431" spans="1:7" ht="26.25" customHeight="1">
      <c r="A431" s="2"/>
      <c r="B431" s="2"/>
      <c r="C431" s="2"/>
      <c r="D431" s="2"/>
      <c r="E431" s="2"/>
      <c r="F431" s="2"/>
      <c r="G431" s="2"/>
    </row>
    <row r="432" spans="1:7" ht="26.25" customHeight="1">
      <c r="A432" s="2"/>
      <c r="B432" s="2"/>
      <c r="C432" s="2"/>
      <c r="D432" s="2"/>
      <c r="E432" s="2"/>
      <c r="F432" s="2"/>
      <c r="G432" s="2"/>
    </row>
    <row r="433" spans="1:7" ht="26.25" customHeight="1">
      <c r="A433" s="2"/>
      <c r="B433" s="2"/>
      <c r="C433" s="2"/>
      <c r="D433" s="2"/>
      <c r="E433" s="2"/>
      <c r="F433" s="2"/>
      <c r="G433" s="2"/>
    </row>
    <row r="434" spans="1:7" ht="26.25" customHeight="1">
      <c r="A434" s="2"/>
      <c r="B434" s="2"/>
      <c r="C434" s="2"/>
      <c r="D434" s="2"/>
      <c r="E434" s="2"/>
      <c r="F434" s="2"/>
      <c r="G434" s="2"/>
    </row>
    <row r="435" spans="1:7" ht="26.25" customHeight="1">
      <c r="A435" s="2"/>
      <c r="B435" s="2"/>
      <c r="C435" s="2"/>
      <c r="D435" s="2"/>
      <c r="E435" s="2"/>
      <c r="F435" s="2"/>
      <c r="G435" s="2"/>
    </row>
    <row r="436" spans="1:7" ht="26.25" customHeight="1">
      <c r="A436" s="2"/>
      <c r="B436" s="2"/>
      <c r="C436" s="2"/>
      <c r="D436" s="2"/>
      <c r="E436" s="2"/>
      <c r="F436" s="2"/>
      <c r="G436" s="2"/>
    </row>
    <row r="437" spans="1:7" ht="26.25" customHeight="1">
      <c r="A437" s="2"/>
      <c r="B437" s="2"/>
      <c r="C437" s="2"/>
      <c r="D437" s="2"/>
      <c r="E437" s="2"/>
      <c r="F437" s="2"/>
      <c r="G437" s="2"/>
    </row>
    <row r="438" spans="1:7" ht="26.25" customHeight="1">
      <c r="A438" s="2"/>
      <c r="B438" s="2"/>
      <c r="C438" s="2"/>
      <c r="D438" s="2"/>
      <c r="E438" s="2"/>
      <c r="F438" s="2"/>
      <c r="G438" s="2"/>
    </row>
    <row r="439" spans="1:7" ht="26.25" customHeight="1">
      <c r="A439" s="2"/>
      <c r="B439" s="2"/>
      <c r="C439" s="2"/>
      <c r="D439" s="2"/>
      <c r="E439" s="2"/>
      <c r="F439" s="2"/>
      <c r="G439" s="2"/>
    </row>
    <row r="440" spans="1:7" ht="26.25" customHeight="1">
      <c r="A440" s="2"/>
      <c r="B440" s="2"/>
      <c r="C440" s="2"/>
      <c r="D440" s="2"/>
      <c r="E440" s="2"/>
      <c r="F440" s="2"/>
      <c r="G440" s="2"/>
    </row>
    <row r="441" spans="1:7" ht="26.25" customHeight="1">
      <c r="A441" s="2"/>
      <c r="B441" s="2"/>
      <c r="C441" s="2"/>
      <c r="D441" s="2"/>
      <c r="E441" s="2"/>
      <c r="F441" s="2"/>
      <c r="G441" s="2"/>
    </row>
    <row r="442" spans="1:7" ht="26.25" customHeight="1">
      <c r="A442" s="2"/>
      <c r="B442" s="2"/>
      <c r="C442" s="2"/>
      <c r="D442" s="2"/>
      <c r="E442" s="2"/>
      <c r="F442" s="2"/>
      <c r="G442" s="2"/>
    </row>
    <row r="443" spans="1:7" ht="26.25" customHeight="1">
      <c r="A443" s="2"/>
      <c r="B443" s="2"/>
      <c r="C443" s="2"/>
      <c r="D443" s="2"/>
      <c r="E443" s="2"/>
      <c r="F443" s="2"/>
      <c r="G443" s="2"/>
    </row>
    <row r="444" spans="1:7" ht="26.25" customHeight="1">
      <c r="A444" s="2"/>
      <c r="B444" s="2"/>
      <c r="C444" s="2"/>
      <c r="D444" s="2"/>
      <c r="E444" s="2"/>
      <c r="F444" s="2"/>
      <c r="G444" s="2"/>
    </row>
    <row r="445" spans="1:7" ht="26.25" customHeight="1">
      <c r="A445" s="2"/>
      <c r="B445" s="2"/>
      <c r="C445" s="2"/>
      <c r="D445" s="2"/>
      <c r="E445" s="2"/>
      <c r="F445" s="2"/>
      <c r="G445" s="2"/>
    </row>
    <row r="446" spans="1:7" ht="26.25" customHeight="1">
      <c r="A446" s="2"/>
      <c r="B446" s="2"/>
      <c r="C446" s="2"/>
      <c r="D446" s="2"/>
      <c r="E446" s="2"/>
      <c r="F446" s="2"/>
      <c r="G446" s="2"/>
    </row>
    <row r="447" spans="1:7" ht="26.25" customHeight="1">
      <c r="A447" s="2"/>
      <c r="B447" s="2"/>
      <c r="C447" s="2"/>
      <c r="D447" s="2"/>
      <c r="E447" s="2"/>
      <c r="F447" s="2"/>
      <c r="G447" s="2"/>
    </row>
    <row r="448" spans="1:7" ht="26.25" customHeight="1">
      <c r="A448" s="2"/>
      <c r="B448" s="2"/>
      <c r="C448" s="2"/>
      <c r="D448" s="2"/>
      <c r="E448" s="2"/>
      <c r="F448" s="2"/>
      <c r="G448" s="2"/>
    </row>
    <row r="449" spans="1:7" ht="26.25" customHeight="1">
      <c r="A449" s="2"/>
      <c r="B449" s="2"/>
      <c r="C449" s="2"/>
      <c r="D449" s="2"/>
      <c r="E449" s="2"/>
      <c r="F449" s="2"/>
      <c r="G449" s="2"/>
    </row>
    <row r="450" spans="1:7" ht="26.25" customHeight="1">
      <c r="A450" s="2"/>
      <c r="B450" s="2"/>
      <c r="C450" s="2"/>
      <c r="D450" s="2"/>
      <c r="E450" s="2"/>
      <c r="F450" s="2"/>
      <c r="G450" s="2"/>
    </row>
    <row r="451" spans="1:7" ht="26.25" customHeight="1">
      <c r="A451" s="2"/>
      <c r="B451" s="2"/>
      <c r="C451" s="2"/>
      <c r="D451" s="2"/>
      <c r="E451" s="2"/>
      <c r="F451" s="2"/>
      <c r="G451" s="2"/>
    </row>
    <row r="452" spans="1:7" ht="26.25" customHeight="1">
      <c r="A452" s="2"/>
      <c r="B452" s="2"/>
      <c r="C452" s="2"/>
      <c r="D452" s="2"/>
      <c r="E452" s="2"/>
      <c r="F452" s="2"/>
      <c r="G452" s="2"/>
    </row>
    <row r="453" spans="1:7" ht="26.25" customHeight="1">
      <c r="A453" s="2"/>
      <c r="B453" s="2"/>
      <c r="C453" s="2"/>
      <c r="D453" s="2"/>
      <c r="E453" s="2"/>
      <c r="F453" s="2"/>
      <c r="G453" s="2"/>
    </row>
    <row r="454" spans="1:7" ht="26.25" customHeight="1">
      <c r="A454" s="2"/>
      <c r="B454" s="2"/>
      <c r="C454" s="2"/>
      <c r="D454" s="2"/>
      <c r="E454" s="2"/>
      <c r="F454" s="2"/>
      <c r="G454" s="2"/>
    </row>
    <row r="455" spans="1:7" ht="15">
      <c r="A455" s="2"/>
      <c r="B455" s="2"/>
      <c r="C455" s="2"/>
      <c r="D455" s="2"/>
      <c r="E455" s="2"/>
      <c r="F455" s="2"/>
      <c r="G455" s="2"/>
    </row>
    <row r="456" spans="1:7" ht="15">
      <c r="A456" s="2"/>
      <c r="B456" s="2"/>
      <c r="C456" s="2"/>
      <c r="D456" s="2"/>
      <c r="E456" s="2"/>
      <c r="F456" s="2"/>
      <c r="G456" s="2"/>
    </row>
    <row r="457" spans="1:7" ht="15">
      <c r="A457" s="2"/>
      <c r="B457" s="2"/>
      <c r="C457" s="2"/>
      <c r="D457" s="2"/>
      <c r="E457" s="2"/>
      <c r="F457" s="2"/>
      <c r="G457" s="2"/>
    </row>
    <row r="458" spans="1:7" ht="15">
      <c r="A458" s="2"/>
      <c r="B458" s="2"/>
      <c r="C458" s="2"/>
      <c r="D458" s="2"/>
      <c r="E458" s="2"/>
      <c r="F458" s="2"/>
      <c r="G458" s="2"/>
    </row>
    <row r="459" spans="1:7" ht="15">
      <c r="A459" s="2"/>
      <c r="B459" s="2"/>
      <c r="C459" s="2"/>
      <c r="D459" s="2"/>
      <c r="E459" s="2"/>
      <c r="F459" s="2"/>
      <c r="G459" s="2"/>
    </row>
    <row r="460" spans="1:7" ht="15">
      <c r="A460" s="2"/>
      <c r="B460" s="2"/>
      <c r="C460" s="2"/>
      <c r="D460" s="2"/>
      <c r="E460" s="2"/>
      <c r="F460" s="2"/>
      <c r="G460" s="2"/>
    </row>
    <row r="461" spans="1:7" ht="15">
      <c r="A461" s="2"/>
      <c r="B461" s="2"/>
      <c r="C461" s="2"/>
      <c r="D461" s="2"/>
      <c r="E461" s="2"/>
      <c r="F461" s="2"/>
      <c r="G461" s="2"/>
    </row>
    <row r="462" spans="1:7" ht="15">
      <c r="A462" s="2"/>
      <c r="B462" s="2"/>
      <c r="C462" s="2"/>
      <c r="D462" s="2"/>
      <c r="E462" s="2"/>
      <c r="F462" s="2"/>
      <c r="G462" s="2"/>
    </row>
    <row r="463" spans="1:7" ht="15">
      <c r="A463" s="2"/>
      <c r="B463" s="2"/>
      <c r="C463" s="2"/>
      <c r="D463" s="2"/>
      <c r="E463" s="2"/>
      <c r="F463" s="2"/>
      <c r="G463" s="2"/>
    </row>
    <row r="464" spans="1:7" ht="15">
      <c r="A464" s="2"/>
      <c r="B464" s="2"/>
      <c r="C464" s="2"/>
      <c r="D464" s="2"/>
      <c r="E464" s="2"/>
      <c r="F464" s="2"/>
      <c r="G464" s="2"/>
    </row>
    <row r="465" spans="1:7" ht="15">
      <c r="A465" s="2"/>
      <c r="B465" s="2"/>
      <c r="C465" s="2"/>
      <c r="D465" s="2"/>
      <c r="E465" s="2"/>
      <c r="F465" s="2"/>
      <c r="G465" s="2"/>
    </row>
    <row r="466" spans="1:7" ht="15">
      <c r="A466" s="2"/>
      <c r="B466" s="2"/>
      <c r="C466" s="2"/>
      <c r="D466" s="2"/>
      <c r="E466" s="2"/>
      <c r="F466" s="2"/>
      <c r="G466" s="2"/>
    </row>
    <row r="467" spans="1:7" ht="15">
      <c r="A467" s="2"/>
      <c r="B467" s="2"/>
      <c r="C467" s="2"/>
      <c r="D467" s="2"/>
      <c r="E467" s="2"/>
      <c r="F467" s="2"/>
      <c r="G467" s="2"/>
    </row>
    <row r="468" spans="1:7" ht="15">
      <c r="A468" s="2"/>
      <c r="B468" s="2"/>
      <c r="C468" s="2"/>
      <c r="D468" s="2"/>
      <c r="E468" s="2"/>
      <c r="F468" s="2"/>
      <c r="G468" s="2"/>
    </row>
    <row r="469" spans="1:7" ht="15">
      <c r="A469" s="2"/>
      <c r="B469" s="2"/>
      <c r="C469" s="2"/>
      <c r="D469" s="2"/>
      <c r="E469" s="2"/>
      <c r="F469" s="2"/>
      <c r="G469" s="2"/>
    </row>
    <row r="470" spans="1:7" ht="15">
      <c r="A470" s="2"/>
      <c r="B470" s="2"/>
      <c r="C470" s="2"/>
      <c r="D470" s="2"/>
      <c r="E470" s="2"/>
      <c r="F470" s="2"/>
      <c r="G470" s="2"/>
    </row>
    <row r="471" spans="1:7" ht="15">
      <c r="A471" s="2"/>
      <c r="B471" s="2"/>
      <c r="C471" s="2"/>
      <c r="D471" s="2"/>
      <c r="E471" s="2"/>
      <c r="F471" s="2"/>
      <c r="G471" s="2"/>
    </row>
    <row r="472" spans="1:7" ht="15">
      <c r="A472" s="2"/>
      <c r="B472" s="2"/>
      <c r="C472" s="2"/>
      <c r="D472" s="2"/>
      <c r="E472" s="2"/>
      <c r="F472" s="2"/>
      <c r="G472" s="2"/>
    </row>
    <row r="473" spans="1:7" ht="15">
      <c r="A473" s="2"/>
      <c r="B473" s="2"/>
      <c r="C473" s="2"/>
      <c r="D473" s="2"/>
      <c r="E473" s="2"/>
      <c r="F473" s="2"/>
      <c r="G473" s="2"/>
    </row>
    <row r="474" spans="1:7" ht="15">
      <c r="A474" s="2"/>
      <c r="B474" s="2"/>
      <c r="C474" s="2"/>
      <c r="D474" s="2"/>
      <c r="E474" s="2"/>
      <c r="F474" s="2"/>
      <c r="G474" s="2"/>
    </row>
    <row r="475" spans="1:7" ht="15">
      <c r="A475" s="2"/>
      <c r="B475" s="2"/>
      <c r="C475" s="2"/>
      <c r="D475" s="2"/>
      <c r="E475" s="2"/>
      <c r="F475" s="2"/>
      <c r="G475" s="2"/>
    </row>
    <row r="476" spans="1:7" ht="15">
      <c r="A476" s="2"/>
      <c r="B476" s="2"/>
      <c r="C476" s="2"/>
      <c r="D476" s="2"/>
      <c r="E476" s="2"/>
      <c r="F476" s="2"/>
      <c r="G476" s="2"/>
    </row>
    <row r="477" spans="1:7" ht="15">
      <c r="A477" s="2"/>
      <c r="B477" s="2"/>
      <c r="C477" s="2"/>
      <c r="D477" s="2"/>
      <c r="E477" s="2"/>
      <c r="F477" s="2"/>
      <c r="G477" s="2"/>
    </row>
    <row r="478" spans="1:7" ht="15">
      <c r="A478" s="2"/>
      <c r="B478" s="2"/>
      <c r="C478" s="2"/>
      <c r="D478" s="2"/>
      <c r="E478" s="2"/>
      <c r="F478" s="2"/>
      <c r="G478" s="2"/>
    </row>
    <row r="479" spans="1:7" ht="15">
      <c r="A479" s="2"/>
      <c r="B479" s="2"/>
      <c r="C479" s="2"/>
      <c r="D479" s="2"/>
      <c r="E479" s="2"/>
      <c r="F479" s="2"/>
      <c r="G479" s="2"/>
    </row>
    <row r="480" spans="1:7" ht="15">
      <c r="A480" s="2"/>
      <c r="B480" s="2"/>
      <c r="C480" s="2"/>
      <c r="D480" s="2"/>
      <c r="E480" s="2"/>
      <c r="F480" s="2"/>
      <c r="G480" s="2"/>
    </row>
    <row r="481" spans="1:7" ht="15">
      <c r="A481" s="2"/>
      <c r="B481" s="2"/>
      <c r="C481" s="2"/>
      <c r="D481" s="2"/>
      <c r="E481" s="2"/>
      <c r="F481" s="2"/>
      <c r="G481" s="2"/>
    </row>
    <row r="482" spans="1:7" ht="15">
      <c r="A482" s="2"/>
      <c r="B482" s="2"/>
      <c r="C482" s="2"/>
      <c r="D482" s="2"/>
      <c r="E482" s="2"/>
      <c r="F482" s="2"/>
      <c r="G482" s="2"/>
    </row>
    <row r="483" spans="1:7" ht="15">
      <c r="A483" s="2"/>
      <c r="B483" s="2"/>
      <c r="C483" s="2"/>
      <c r="D483" s="2"/>
      <c r="E483" s="2"/>
      <c r="F483" s="2"/>
      <c r="G483" s="2"/>
    </row>
    <row r="484" spans="1:7" ht="15">
      <c r="A484" s="2"/>
      <c r="B484" s="2"/>
      <c r="C484" s="2"/>
      <c r="D484" s="2"/>
      <c r="E484" s="2"/>
      <c r="F484" s="2"/>
      <c r="G484" s="2"/>
    </row>
    <row r="485" spans="1:7" ht="15">
      <c r="A485" s="2"/>
      <c r="B485" s="2"/>
      <c r="C485" s="2"/>
      <c r="D485" s="2"/>
      <c r="E485" s="2"/>
      <c r="F485" s="2"/>
      <c r="G485" s="2"/>
    </row>
    <row r="486" spans="1:7" ht="15">
      <c r="A486" s="2"/>
      <c r="B486" s="2"/>
      <c r="C486" s="2"/>
      <c r="D486" s="2"/>
      <c r="E486" s="2"/>
      <c r="F486" s="2"/>
      <c r="G486" s="2"/>
    </row>
    <row r="487" spans="1:7" ht="15">
      <c r="A487" s="2"/>
      <c r="B487" s="2"/>
      <c r="C487" s="2"/>
      <c r="D487" s="2"/>
      <c r="E487" s="2"/>
      <c r="F487" s="2"/>
      <c r="G487" s="2"/>
    </row>
    <row r="488" spans="1:7" ht="15">
      <c r="A488" s="2"/>
      <c r="B488" s="2"/>
      <c r="C488" s="2"/>
      <c r="D488" s="2"/>
      <c r="E488" s="2"/>
      <c r="F488" s="2"/>
      <c r="G488" s="2"/>
    </row>
    <row r="489" spans="1:7" ht="15">
      <c r="A489" s="2"/>
      <c r="B489" s="2"/>
      <c r="C489" s="2"/>
      <c r="D489" s="2"/>
      <c r="E489" s="2"/>
      <c r="F489" s="2"/>
      <c r="G489" s="2"/>
    </row>
    <row r="490" spans="1:7" ht="15">
      <c r="A490" s="2"/>
      <c r="B490" s="2"/>
      <c r="C490" s="2"/>
      <c r="D490" s="2"/>
      <c r="E490" s="2"/>
      <c r="F490" s="2"/>
      <c r="G490" s="2"/>
    </row>
    <row r="491" spans="1:7" ht="15">
      <c r="A491" s="2"/>
      <c r="B491" s="2"/>
      <c r="C491" s="2"/>
      <c r="D491" s="2"/>
      <c r="E491" s="2"/>
      <c r="F491" s="2"/>
      <c r="G491" s="2"/>
    </row>
    <row r="492" spans="1:7" ht="15">
      <c r="A492" s="2"/>
      <c r="B492" s="2"/>
      <c r="C492" s="2"/>
      <c r="D492" s="2"/>
      <c r="E492" s="2"/>
      <c r="F492" s="2"/>
      <c r="G492" s="2"/>
    </row>
    <row r="493" spans="1:7" ht="15">
      <c r="A493" s="2"/>
      <c r="B493" s="2"/>
      <c r="C493" s="2"/>
      <c r="D493" s="2"/>
      <c r="E493" s="2"/>
      <c r="F493" s="2"/>
      <c r="G493" s="2"/>
    </row>
  </sheetData>
  <sheetProtection/>
  <mergeCells count="3">
    <mergeCell ref="A2:F2"/>
    <mergeCell ref="A183:G183"/>
  </mergeCells>
  <printOptions/>
  <pageMargins left="0.7874015748031497" right="0" top="0" bottom="0" header="0.5118110236220472" footer="0.5118110236220472"/>
  <pageSetup orientation="landscape" paperSize="9" scale="9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2018-02-08T05:08:04Z</cp:lastPrinted>
  <dcterms:created xsi:type="dcterms:W3CDTF">2016-01-13T06:07:18Z</dcterms:created>
  <dcterms:modified xsi:type="dcterms:W3CDTF">2018-03-29T09:06:05Z</dcterms:modified>
  <cp:category/>
  <cp:version/>
  <cp:contentType/>
  <cp:contentStatus/>
  <cp:revision>1</cp:revision>
</cp:coreProperties>
</file>